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mine-PC\Desktop\"/>
    </mc:Choice>
  </mc:AlternateContent>
  <xr:revisionPtr revIDLastSave="0" documentId="13_ncr:1_{693911AA-79A1-4E26-B940-E818080022B1}" xr6:coauthVersionLast="47" xr6:coauthVersionMax="47" xr10:uidLastSave="{00000000-0000-0000-0000-000000000000}"/>
  <bookViews>
    <workbookView xWindow="-120" yWindow="-120" windowWidth="29040" windowHeight="15720" tabRatio="449" activeTab="3" xr2:uid="{9C5F527D-6E6B-4409-B800-8227EDAA1EA3}"/>
  </bookViews>
  <sheets>
    <sheet name="水平力算出 E通" sheetId="3" r:id="rId1"/>
    <sheet name="水平力算出  F通" sheetId="4" r:id="rId2"/>
    <sheet name="W20E,F通り一体化" sheetId="2" r:id="rId3"/>
    <sheet name="短期接地圧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【階段の設計】" localSheetId="1">#REF!</definedName>
    <definedName name="【階段の設計】" localSheetId="0">#REF!</definedName>
    <definedName name="【階段の設計】" localSheetId="3">#REF!</definedName>
    <definedName name="【階段の設計】">#REF!</definedName>
    <definedName name="_xlnm.Print_Area" localSheetId="2">'W20E,F通り一体化'!$A$1:$O$81</definedName>
    <definedName name="_xlnm.Print_Area" localSheetId="1">'水平力算出  F通'!$A$1:$Q$32</definedName>
    <definedName name="_xlnm.Print_Area" localSheetId="0">'水平力算出 E通'!$A$1:$Q$32</definedName>
    <definedName name="_xlnm.Print_Area" localSheetId="3">短期接地圧!$A$1:$W$74</definedName>
    <definedName name="あ" localSheetId="1">[1]リスト!#REF!</definedName>
    <definedName name="あ" localSheetId="0">[1]リスト!#REF!</definedName>
    <definedName name="あ" localSheetId="3">[1]リスト!#REF!</definedName>
    <definedName name="あ">[1]リスト!#REF!</definedName>
    <definedName name="加力方向" localSheetId="1">#REF!</definedName>
    <definedName name="加力方向" localSheetId="0">#REF!</definedName>
    <definedName name="加力方向" localSheetId="3">#REF!</definedName>
    <definedName name="加力方向">#REF!</definedName>
    <definedName name="構造種別" localSheetId="1">#REF!</definedName>
    <definedName name="構造種別" localSheetId="0">#REF!</definedName>
    <definedName name="構造種別" localSheetId="3">#REF!</definedName>
    <definedName name="構造種別">#REF!</definedName>
    <definedName name="参照" localSheetId="1">#REF!</definedName>
    <definedName name="参照" localSheetId="0">#REF!</definedName>
    <definedName name="参照" localSheetId="3">#REF!</definedName>
    <definedName name="参照">#REF!</definedName>
    <definedName name="主要用途" localSheetId="1">#REF!</definedName>
    <definedName name="主要用途" localSheetId="0">#REF!</definedName>
    <definedName name="主要用途">#REF!</definedName>
    <definedName name="種別" localSheetId="1">#REF!</definedName>
    <definedName name="種別" localSheetId="0">#REF!</definedName>
    <definedName name="種別">#REF!</definedName>
    <definedName name="設計事務所">[2]Sheet2!$C:$C</definedName>
    <definedName name="設計事務所名" localSheetId="1">#REF!</definedName>
    <definedName name="設計事務所名" localSheetId="0">#REF!</definedName>
    <definedName name="設計事務所名" localSheetId="3">#REF!</definedName>
    <definedName name="設計事務所名">#REF!</definedName>
    <definedName name="地盤種別" localSheetId="1">#REF!</definedName>
    <definedName name="地盤種別" localSheetId="0">#REF!</definedName>
    <definedName name="地盤種別" localSheetId="3">#REF!</definedName>
    <definedName name="地盤種別">#REF!</definedName>
    <definedName name="有・無" localSheetId="1">[1]リスト!#REF!</definedName>
    <definedName name="有・無" localSheetId="0">[1]リスト!#REF!</definedName>
    <definedName name="有・無" localSheetId="3">[1]リスト!#REF!</definedName>
    <definedName name="有・無">[1]リスト!#REF!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5" l="1"/>
  <c r="P73" i="5"/>
  <c r="J73" i="5"/>
  <c r="G60" i="5"/>
  <c r="G59" i="5"/>
  <c r="J59" i="5" s="1"/>
  <c r="J55" i="5"/>
  <c r="J54" i="5"/>
  <c r="O32" i="5"/>
  <c r="D32" i="5"/>
  <c r="U25" i="5"/>
  <c r="U24" i="5"/>
  <c r="S24" i="5"/>
  <c r="Q24" i="5"/>
  <c r="C11" i="5"/>
  <c r="C10" i="5"/>
  <c r="C8" i="5"/>
  <c r="C7" i="5"/>
  <c r="C55" i="4"/>
  <c r="H47" i="4"/>
  <c r="F43" i="4"/>
  <c r="J47" i="4" s="1"/>
  <c r="H42" i="4"/>
  <c r="F42" i="4"/>
  <c r="E28" i="4"/>
  <c r="K24" i="4"/>
  <c r="M23" i="4"/>
  <c r="P21" i="4"/>
  <c r="N21" i="4"/>
  <c r="L21" i="4"/>
  <c r="H21" i="4"/>
  <c r="J23" i="4" s="1"/>
  <c r="H23" i="4" s="1"/>
  <c r="I24" i="4" s="1"/>
  <c r="D24" i="4" s="1"/>
  <c r="C28" i="4" s="1"/>
  <c r="E17" i="4"/>
  <c r="G28" i="4" s="1"/>
  <c r="E13" i="4"/>
  <c r="C13" i="4"/>
  <c r="J8" i="4"/>
  <c r="N8" i="4" s="1"/>
  <c r="N9" i="4" s="1"/>
  <c r="D8" i="4" s="1"/>
  <c r="G13" i="4" s="1"/>
  <c r="I13" i="4" s="1"/>
  <c r="F31" i="4" s="1"/>
  <c r="C55" i="3"/>
  <c r="H47" i="3"/>
  <c r="H42" i="3"/>
  <c r="F42" i="3" s="1"/>
  <c r="F43" i="3" s="1"/>
  <c r="J47" i="3" s="1"/>
  <c r="E28" i="3"/>
  <c r="K24" i="3"/>
  <c r="M23" i="3"/>
  <c r="J23" i="3"/>
  <c r="H23" i="3" s="1"/>
  <c r="I24" i="3" s="1"/>
  <c r="D24" i="3" s="1"/>
  <c r="C28" i="3" s="1"/>
  <c r="P21" i="3"/>
  <c r="N21" i="3"/>
  <c r="L21" i="3"/>
  <c r="H21" i="3"/>
  <c r="E13" i="3"/>
  <c r="C13" i="3"/>
  <c r="K5" i="3"/>
  <c r="J8" i="3" s="1"/>
  <c r="O24" i="5" l="1"/>
  <c r="C9" i="5"/>
  <c r="O25" i="5" s="1"/>
  <c r="N8" i="3"/>
  <c r="N9" i="3" s="1"/>
  <c r="D8" i="3" s="1"/>
  <c r="G13" i="3" s="1"/>
  <c r="I13" i="3" s="1"/>
  <c r="F31" i="3" s="1"/>
  <c r="E17" i="3"/>
  <c r="G28" i="3" s="1"/>
  <c r="M28" i="4"/>
  <c r="F32" i="4" s="1"/>
  <c r="J31" i="4"/>
  <c r="G36" i="4" s="1"/>
  <c r="L36" i="4" s="1"/>
  <c r="P36" i="4" s="1"/>
  <c r="C47" i="4" s="1"/>
  <c r="L47" i="4" s="1"/>
  <c r="I55" i="4" s="1"/>
  <c r="L55" i="4" s="1"/>
  <c r="M28" i="3"/>
  <c r="F32" i="3" s="1"/>
  <c r="O27" i="5" l="1"/>
  <c r="J31" i="3"/>
  <c r="G36" i="3" s="1"/>
  <c r="L36" i="3" s="1"/>
  <c r="P36" i="3" s="1"/>
  <c r="C47" i="3" s="1"/>
  <c r="L47" i="3" s="1"/>
  <c r="I55" i="3" s="1"/>
  <c r="L55" i="3" s="1"/>
  <c r="Q59" i="5" l="1"/>
  <c r="E62" i="5" s="1"/>
  <c r="E42" i="5"/>
  <c r="N204" i="2"/>
  <c r="J193" i="2"/>
  <c r="F179" i="2"/>
  <c r="F178" i="2"/>
  <c r="F173" i="2"/>
  <c r="N150" i="2"/>
  <c r="G144" i="2"/>
  <c r="V143" i="2"/>
  <c r="T138" i="2"/>
  <c r="F128" i="2"/>
  <c r="F127" i="2"/>
  <c r="F122" i="2"/>
  <c r="I119" i="2"/>
  <c r="J109" i="2"/>
  <c r="J108" i="2"/>
  <c r="J107" i="2"/>
  <c r="H99" i="2"/>
  <c r="F99" i="2"/>
  <c r="J93" i="2"/>
  <c r="F91" i="2"/>
  <c r="J87" i="2"/>
  <c r="C89" i="2" s="1"/>
  <c r="J89" i="2" s="1"/>
  <c r="H91" i="2" s="1"/>
  <c r="C87" i="2"/>
  <c r="F85" i="2"/>
  <c r="H83" i="2"/>
  <c r="T81" i="2"/>
  <c r="F77" i="2"/>
  <c r="F75" i="2"/>
  <c r="F73" i="2"/>
  <c r="F71" i="2"/>
  <c r="F69" i="2"/>
  <c r="F67" i="2"/>
  <c r="F65" i="2"/>
  <c r="S63" i="2"/>
  <c r="F63" i="2"/>
  <c r="C63" i="2"/>
  <c r="H63" i="2" s="1"/>
  <c r="F61" i="2"/>
  <c r="H55" i="2"/>
  <c r="F55" i="2"/>
  <c r="C55" i="2"/>
  <c r="N55" i="2" s="1"/>
  <c r="H53" i="2"/>
  <c r="F53" i="2"/>
  <c r="H51" i="2"/>
  <c r="F51" i="2"/>
  <c r="C51" i="2"/>
  <c r="J51" i="2" s="1"/>
  <c r="H49" i="2"/>
  <c r="F49" i="2"/>
  <c r="C49" i="2"/>
  <c r="J49" i="2" s="1"/>
  <c r="N44" i="2"/>
  <c r="C77" i="2" s="1"/>
  <c r="H77" i="2" s="1"/>
  <c r="N42" i="2"/>
  <c r="C75" i="2" s="1"/>
  <c r="H75" i="2" s="1"/>
  <c r="N40" i="2"/>
  <c r="C73" i="2" s="1"/>
  <c r="H73" i="2" s="1"/>
  <c r="N38" i="2"/>
  <c r="C71" i="2" s="1"/>
  <c r="H71" i="2" s="1"/>
  <c r="N36" i="2"/>
  <c r="C53" i="2" s="1"/>
  <c r="N53" i="2" s="1"/>
  <c r="N34" i="2"/>
  <c r="C67" i="2" s="1"/>
  <c r="H67" i="2" s="1"/>
  <c r="L32" i="2"/>
  <c r="N32" i="2" s="1"/>
  <c r="N30" i="2"/>
  <c r="F108" i="2" s="1"/>
  <c r="L30" i="2"/>
  <c r="L28" i="2"/>
  <c r="J28" i="2"/>
  <c r="H28" i="2"/>
  <c r="N28" i="2" s="1"/>
  <c r="S17" i="2"/>
  <c r="T137" i="2" s="1"/>
  <c r="H14" i="2"/>
  <c r="W8" i="2"/>
  <c r="S8" i="2"/>
  <c r="W7" i="2"/>
  <c r="S7" i="2"/>
  <c r="W6" i="2"/>
  <c r="S6" i="2"/>
  <c r="T84" i="2"/>
  <c r="D50" i="5" l="1"/>
  <c r="D47" i="5"/>
  <c r="D45" i="5"/>
  <c r="H54" i="5" s="1"/>
  <c r="M54" i="5" s="1"/>
  <c r="J42" i="5"/>
  <c r="G42" i="5"/>
  <c r="D69" i="5"/>
  <c r="H73" i="5" s="1"/>
  <c r="M73" i="5" s="1"/>
  <c r="D66" i="5"/>
  <c r="D64" i="5"/>
  <c r="J62" i="5"/>
  <c r="G62" i="5"/>
  <c r="S16" i="2"/>
  <c r="W16" i="2" s="1"/>
  <c r="V28" i="2" s="1"/>
  <c r="X28" i="2" s="1"/>
  <c r="R78" i="2" s="1"/>
  <c r="T140" i="2"/>
  <c r="T143" i="2" s="1"/>
  <c r="U143" i="2" s="1"/>
  <c r="T89" i="2"/>
  <c r="F81" i="2"/>
  <c r="N57" i="2"/>
  <c r="J165" i="2"/>
  <c r="C91" i="2"/>
  <c r="J91" i="2" s="1"/>
  <c r="H93" i="2" s="1"/>
  <c r="L93" i="2" s="1"/>
  <c r="G95" i="2" s="1"/>
  <c r="J95" i="2" s="1"/>
  <c r="F109" i="2"/>
  <c r="C65" i="2"/>
  <c r="H65" i="2" s="1"/>
  <c r="F107" i="2"/>
  <c r="C61" i="2"/>
  <c r="H61" i="2" s="1"/>
  <c r="L66" i="2" s="1"/>
  <c r="C81" i="2" s="1"/>
  <c r="H81" i="2" s="1"/>
  <c r="N46" i="2"/>
  <c r="C69" i="2"/>
  <c r="H69" i="2" s="1"/>
  <c r="T73" i="5" l="1"/>
  <c r="O73" i="5"/>
  <c r="T54" i="5"/>
  <c r="O54" i="5"/>
  <c r="X143" i="2"/>
  <c r="L81" i="2"/>
  <c r="I81" i="2"/>
  <c r="F110" i="2"/>
  <c r="F115" i="2"/>
  <c r="V109" i="2"/>
  <c r="X108" i="2" s="1"/>
  <c r="R134" i="2" s="1"/>
  <c r="C99" i="2"/>
  <c r="J99" i="2" s="1"/>
  <c r="N95" i="2"/>
  <c r="K95" i="2"/>
  <c r="X89" i="2"/>
  <c r="U89" i="2"/>
  <c r="H202" i="2" l="1"/>
  <c r="H206" i="2" s="1"/>
  <c r="H148" i="2"/>
  <c r="H152" i="2" s="1"/>
  <c r="J166" i="2"/>
  <c r="M165" i="2" s="1"/>
  <c r="J169" i="2" s="1"/>
  <c r="F116" i="2"/>
  <c r="J115" i="2" s="1"/>
  <c r="L119" i="2" s="1"/>
  <c r="N119" i="2" s="1"/>
  <c r="D123" i="2" l="1"/>
  <c r="D147" i="2"/>
  <c r="G130" i="2"/>
  <c r="H169" i="2"/>
  <c r="L169" i="2" s="1"/>
  <c r="D130" i="2"/>
  <c r="N149" i="2"/>
  <c r="J152" i="2" s="1"/>
  <c r="L152" i="2" s="1"/>
  <c r="H155" i="2" s="1"/>
  <c r="G123" i="2"/>
  <c r="G174" i="2"/>
  <c r="D174" i="2"/>
  <c r="L155" i="2" l="1"/>
  <c r="I155" i="2"/>
  <c r="D199" i="2"/>
  <c r="N203" i="2"/>
  <c r="J206" i="2" s="1"/>
  <c r="L206" i="2" s="1"/>
  <c r="H209" i="2" s="1"/>
  <c r="D181" i="2"/>
  <c r="G181" i="2"/>
  <c r="L209" i="2" l="1"/>
  <c r="I20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akamine-PC</author>
  </authors>
  <commentList>
    <comment ref="F87" authorId="0" shapeId="0" xr:uid="{40935EE7-8526-4A27-AB87-8DA311B19E52}">
      <text>
        <r>
          <rPr>
            <b/>
            <sz val="9"/>
            <color indexed="81"/>
            <rFont val="MS P ゴシック"/>
            <family val="3"/>
            <charset val="128"/>
          </rPr>
          <t>かぶり適宜入力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akamine-PC</author>
  </authors>
  <commentList>
    <comment ref="C45" authorId="0" shapeId="0" xr:uid="{0B66B4F7-614C-4E85-9CBC-DB98114C43F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①式の割増係数
</t>
        </r>
      </text>
    </comment>
    <comment ref="C50" authorId="0" shapeId="0" xr:uid="{A585F850-1E86-404A-B350-5074222234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②式の割増係数
</t>
        </r>
      </text>
    </comment>
    <comment ref="C64" authorId="0" shapeId="0" xr:uid="{947B942F-E512-467C-88FF-F3B2D2FF08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①式の割増係数
</t>
        </r>
      </text>
    </comment>
    <comment ref="C69" authorId="0" shapeId="0" xr:uid="{8CB1EDC8-EDEE-4C1E-99A2-698CE0982CD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②式の割増係数
</t>
        </r>
      </text>
    </comment>
  </commentList>
</comments>
</file>

<file path=xl/sharedStrings.xml><?xml version="1.0" encoding="utf-8"?>
<sst xmlns="http://schemas.openxmlformats.org/spreadsheetml/2006/main" count="954" uniqueCount="310">
  <si>
    <t>L</t>
    <phoneticPr fontId="2"/>
  </si>
  <si>
    <t>M=</t>
    <phoneticPr fontId="2"/>
  </si>
  <si>
    <r>
      <rPr>
        <sz val="11"/>
        <color theme="1"/>
        <rFont val="ＭＳ Ｐゴシック"/>
        <family val="2"/>
        <charset val="128"/>
      </rPr>
      <t>転倒</t>
    </r>
    <r>
      <rPr>
        <sz val="11"/>
        <color theme="1"/>
        <rFont val="Arial"/>
        <family val="2"/>
      </rPr>
      <t>M</t>
    </r>
    <rPh sb="0" eb="2">
      <t>テントウ</t>
    </rPh>
    <phoneticPr fontId="2"/>
  </si>
  <si>
    <t>N'A=</t>
    <phoneticPr fontId="2"/>
  </si>
  <si>
    <r>
      <rPr>
        <sz val="11"/>
        <color theme="1"/>
        <rFont val="ＭＳ Ｐゴシック"/>
        <family val="2"/>
        <charset val="128"/>
      </rPr>
      <t>N</t>
    </r>
    <r>
      <rPr>
        <sz val="11"/>
        <color theme="1"/>
        <rFont val="Arial"/>
        <family val="2"/>
      </rPr>
      <t>'B</t>
    </r>
    <r>
      <rPr>
        <sz val="11"/>
        <color theme="1"/>
        <rFont val="Arial"/>
        <family val="2"/>
        <charset val="128"/>
      </rPr>
      <t>=</t>
    </r>
    <phoneticPr fontId="2"/>
  </si>
  <si>
    <r>
      <rPr>
        <sz val="11"/>
        <color theme="1"/>
        <rFont val="Arial"/>
        <family val="2"/>
        <charset val="161"/>
      </rPr>
      <t>Σ</t>
    </r>
    <r>
      <rPr>
        <sz val="11"/>
        <color theme="1"/>
        <rFont val="ＭＳ Ｐゴシック"/>
        <family val="2"/>
        <charset val="128"/>
      </rPr>
      <t>N'=</t>
    </r>
    <phoneticPr fontId="2"/>
  </si>
  <si>
    <t>Lb=</t>
    <phoneticPr fontId="2"/>
  </si>
  <si>
    <t>La=</t>
    <phoneticPr fontId="2"/>
  </si>
  <si>
    <t>Lc=</t>
    <phoneticPr fontId="2"/>
  </si>
  <si>
    <t>L=</t>
    <phoneticPr fontId="2"/>
  </si>
  <si>
    <t>N'A+N'B</t>
    <phoneticPr fontId="2"/>
  </si>
  <si>
    <t>×</t>
    <phoneticPr fontId="2"/>
  </si>
  <si>
    <t>+</t>
    <phoneticPr fontId="2"/>
  </si>
  <si>
    <t>－</t>
    <phoneticPr fontId="2"/>
  </si>
  <si>
    <t>=</t>
    <phoneticPr fontId="2"/>
  </si>
  <si>
    <t>e</t>
    <phoneticPr fontId="2"/>
  </si>
  <si>
    <t>の時</t>
    <rPh sb="1" eb="2">
      <t>トキ</t>
    </rPh>
    <phoneticPr fontId="2"/>
  </si>
  <si>
    <t>◆</t>
    <phoneticPr fontId="2"/>
  </si>
  <si>
    <r>
      <t>α</t>
    </r>
    <r>
      <rPr>
        <sz val="11"/>
        <color theme="1"/>
        <rFont val="ＭＳ Ｐゴシック"/>
        <family val="2"/>
        <charset val="128"/>
      </rPr>
      <t>=</t>
    </r>
    <phoneticPr fontId="2"/>
  </si>
  <si>
    <r>
      <t>α</t>
    </r>
    <r>
      <rPr>
        <sz val="11"/>
        <color theme="1"/>
        <rFont val="ＭＳ Ｐゴシック"/>
        <family val="2"/>
        <charset val="128"/>
      </rPr>
      <t>'=</t>
    </r>
    <phoneticPr fontId="2"/>
  </si>
  <si>
    <t>を採用</t>
    <rPh sb="1" eb="3">
      <t>サイヨウ</t>
    </rPh>
    <phoneticPr fontId="2"/>
  </si>
  <si>
    <t>＝</t>
    <phoneticPr fontId="2"/>
  </si>
  <si>
    <t>L'は単位長さ1m</t>
    <rPh sb="3" eb="5">
      <t>タンイ</t>
    </rPh>
    <rPh sb="5" eb="6">
      <t>ナガ</t>
    </rPh>
    <phoneticPr fontId="2"/>
  </si>
  <si>
    <t>地盤長期支持力</t>
    <rPh sb="0" eb="2">
      <t>ジバン</t>
    </rPh>
    <rPh sb="2" eb="4">
      <t>チョウキ</t>
    </rPh>
    <rPh sb="4" eb="7">
      <t>シジリョク</t>
    </rPh>
    <phoneticPr fontId="2"/>
  </si>
  <si>
    <r>
      <t>kN/</t>
    </r>
    <r>
      <rPr>
        <sz val="11"/>
        <color theme="1"/>
        <rFont val="Segoe UI Symbol"/>
        <family val="2"/>
      </rPr>
      <t>㎡</t>
    </r>
    <phoneticPr fontId="2"/>
  </si>
  <si>
    <t>kN</t>
    <phoneticPr fontId="2"/>
  </si>
  <si>
    <r>
      <t>kN</t>
    </r>
    <r>
      <rPr>
        <sz val="11"/>
        <color theme="1"/>
        <rFont val="ＭＳ Ｐゴシック"/>
        <family val="2"/>
        <charset val="128"/>
      </rPr>
      <t>・</t>
    </r>
    <r>
      <rPr>
        <sz val="11"/>
        <color theme="1"/>
        <rFont val="Arial"/>
        <family val="2"/>
        <charset val="128"/>
      </rPr>
      <t>m</t>
    </r>
    <phoneticPr fontId="2"/>
  </si>
  <si>
    <t>m</t>
    <phoneticPr fontId="2"/>
  </si>
  <si>
    <t>　E通りF通り　10～11間　W20a転倒の検討　</t>
    <rPh sb="2" eb="3">
      <t>トオ</t>
    </rPh>
    <rPh sb="5" eb="6">
      <t>トオ</t>
    </rPh>
    <rPh sb="13" eb="14">
      <t>カン</t>
    </rPh>
    <rPh sb="19" eb="21">
      <t>テントウ</t>
    </rPh>
    <rPh sb="22" eb="24">
      <t>ケントウ</t>
    </rPh>
    <phoneticPr fontId="16"/>
  </si>
  <si>
    <t>接地圧の確認（長期）</t>
    <rPh sb="0" eb="3">
      <t>セッチアツ</t>
    </rPh>
    <rPh sb="4" eb="6">
      <t>カクニン</t>
    </rPh>
    <rPh sb="7" eb="9">
      <t>チョウキ</t>
    </rPh>
    <phoneticPr fontId="16"/>
  </si>
  <si>
    <t>kN/㎡</t>
    <phoneticPr fontId="16"/>
  </si>
  <si>
    <t>m</t>
    <phoneticPr fontId="16"/>
  </si>
  <si>
    <t>W20a</t>
    <phoneticPr fontId="16"/>
  </si>
  <si>
    <t>＝</t>
    <phoneticPr fontId="16"/>
  </si>
  <si>
    <t>t1</t>
    <phoneticPr fontId="16"/>
  </si>
  <si>
    <t>重心位置xの計算</t>
    <rPh sb="0" eb="2">
      <t>ジュウシン</t>
    </rPh>
    <rPh sb="2" eb="4">
      <t>イチ</t>
    </rPh>
    <rPh sb="6" eb="8">
      <t>ケイサン</t>
    </rPh>
    <phoneticPr fontId="16"/>
  </si>
  <si>
    <t>基点からの距離</t>
    <rPh sb="0" eb="2">
      <t>キテン</t>
    </rPh>
    <rPh sb="5" eb="7">
      <t>キョリ</t>
    </rPh>
    <phoneticPr fontId="16"/>
  </si>
  <si>
    <t>W</t>
    <phoneticPr fontId="16"/>
  </si>
  <si>
    <t>t2</t>
    <phoneticPr fontId="16"/>
  </si>
  <si>
    <t>N1</t>
    <phoneticPr fontId="16"/>
  </si>
  <si>
    <t>L1</t>
    <phoneticPr fontId="16"/>
  </si>
  <si>
    <t>m(検討長さ)</t>
    <rPh sb="2" eb="4">
      <t>ケントウ</t>
    </rPh>
    <rPh sb="4" eb="5">
      <t>ナガ</t>
    </rPh>
    <phoneticPr fontId="16"/>
  </si>
  <si>
    <t>m(B-t)</t>
    <phoneticPr fontId="16"/>
  </si>
  <si>
    <t>N2</t>
    <phoneticPr fontId="16"/>
  </si>
  <si>
    <t>L2</t>
    <phoneticPr fontId="16"/>
  </si>
  <si>
    <t>L</t>
    <phoneticPr fontId="16"/>
  </si>
  <si>
    <t>a</t>
    <phoneticPr fontId="16"/>
  </si>
  <si>
    <t>N3</t>
    <phoneticPr fontId="16"/>
  </si>
  <si>
    <t>L3</t>
    <phoneticPr fontId="16"/>
  </si>
  <si>
    <t>Σ</t>
    <phoneticPr fontId="16"/>
  </si>
  <si>
    <t>C</t>
    <phoneticPr fontId="16"/>
  </si>
  <si>
    <t>ΣN*X=L1*X1+L2*X2+L3*X3</t>
    <phoneticPr fontId="16"/>
  </si>
  <si>
    <t>H</t>
    <phoneticPr fontId="16"/>
  </si>
  <si>
    <t>x＝</t>
    <phoneticPr fontId="16"/>
  </si>
  <si>
    <t>L1*X1+L2*X2+L3*X3</t>
    <phoneticPr fontId="16"/>
  </si>
  <si>
    <t>b</t>
    <phoneticPr fontId="16"/>
  </si>
  <si>
    <t>ΣN</t>
    <phoneticPr fontId="16"/>
  </si>
  <si>
    <t>Dfa</t>
    <phoneticPr fontId="16"/>
  </si>
  <si>
    <t>L4</t>
    <phoneticPr fontId="16"/>
  </si>
  <si>
    <t>㎡</t>
    <phoneticPr fontId="16"/>
  </si>
  <si>
    <t>W/2</t>
    <phoneticPr fontId="16"/>
  </si>
  <si>
    <t>d</t>
    <phoneticPr fontId="16"/>
  </si>
  <si>
    <t>偏芯距離eの計算</t>
    <rPh sb="0" eb="4">
      <t>ヘンシンキョリ</t>
    </rPh>
    <rPh sb="6" eb="8">
      <t>ケイサン</t>
    </rPh>
    <phoneticPr fontId="16"/>
  </si>
  <si>
    <t>L5</t>
    <phoneticPr fontId="16"/>
  </si>
  <si>
    <t>L6</t>
    <phoneticPr fontId="16"/>
  </si>
  <si>
    <t>L7</t>
    <phoneticPr fontId="16"/>
  </si>
  <si>
    <t>L8</t>
    <phoneticPr fontId="16"/>
  </si>
  <si>
    <t>L9</t>
    <phoneticPr fontId="16"/>
  </si>
  <si>
    <t xml:space="preserve">     ↓W*H*L W20</t>
    <phoneticPr fontId="16"/>
  </si>
  <si>
    <t xml:space="preserve">  kN</t>
    <phoneticPr fontId="16"/>
  </si>
  <si>
    <t xml:space="preserve">     ↓W*H*L W15a</t>
    <phoneticPr fontId="16"/>
  </si>
  <si>
    <t>P1</t>
    <phoneticPr fontId="16"/>
  </si>
  <si>
    <t>P2</t>
    <phoneticPr fontId="16"/>
  </si>
  <si>
    <t>P１,P2前項より</t>
    <rPh sb="5" eb="6">
      <t>ゼン</t>
    </rPh>
    <rPh sb="6" eb="7">
      <t>コウ</t>
    </rPh>
    <phoneticPr fontId="16"/>
  </si>
  <si>
    <t>e</t>
    <phoneticPr fontId="16"/>
  </si>
  <si>
    <t>=</t>
    <phoneticPr fontId="16"/>
  </si>
  <si>
    <t>B</t>
    <phoneticPr fontId="16"/>
  </si>
  <si>
    <t>-</t>
    <phoneticPr fontId="16"/>
  </si>
  <si>
    <t>x</t>
    <phoneticPr fontId="16"/>
  </si>
  <si>
    <t>E通壁</t>
    <rPh sb="1" eb="2">
      <t>トオ</t>
    </rPh>
    <rPh sb="2" eb="3">
      <t>カベ</t>
    </rPh>
    <phoneticPr fontId="16"/>
  </si>
  <si>
    <t>W20a(kN/㎡)</t>
    <phoneticPr fontId="16"/>
  </si>
  <si>
    <t>m(H+Dfa)</t>
    <phoneticPr fontId="16"/>
  </si>
  <si>
    <t>m(L)</t>
    <phoneticPr fontId="16"/>
  </si>
  <si>
    <t>×</t>
    <phoneticPr fontId="16"/>
  </si>
  <si>
    <t>kN/㎥</t>
    <phoneticPr fontId="16"/>
  </si>
  <si>
    <t>偏心距離と基礎幅の関係</t>
    <rPh sb="0" eb="4">
      <t>ヘンシンキョリ</t>
    </rPh>
    <rPh sb="5" eb="8">
      <t>キソハバ</t>
    </rPh>
    <rPh sb="9" eb="11">
      <t>カンケイ</t>
    </rPh>
    <phoneticPr fontId="16"/>
  </si>
  <si>
    <t>検討式１</t>
    <rPh sb="0" eb="3">
      <t>ケントウシキ</t>
    </rPh>
    <phoneticPr fontId="16"/>
  </si>
  <si>
    <t>e≦B/6のとき　</t>
    <phoneticPr fontId="16"/>
  </si>
  <si>
    <t>N4</t>
    <phoneticPr fontId="16"/>
  </si>
  <si>
    <t>階段</t>
    <rPh sb="0" eb="2">
      <t>カイダン</t>
    </rPh>
    <phoneticPr fontId="16"/>
  </si>
  <si>
    <t>N5</t>
    <phoneticPr fontId="16"/>
  </si>
  <si>
    <t>↓庇3 DL+LL</t>
    <rPh sb="1" eb="2">
      <t>ヒサシ</t>
    </rPh>
    <phoneticPr fontId="16"/>
  </si>
  <si>
    <t>N6</t>
    <phoneticPr fontId="16"/>
  </si>
  <si>
    <t>F通壁</t>
    <rPh sb="1" eb="2">
      <t>トオ</t>
    </rPh>
    <rPh sb="2" eb="3">
      <t>カベ</t>
    </rPh>
    <phoneticPr fontId="16"/>
  </si>
  <si>
    <t>W15a(kN/㎡)</t>
    <phoneticPr fontId="16"/>
  </si>
  <si>
    <t>N7</t>
    <phoneticPr fontId="16"/>
  </si>
  <si>
    <t>N8</t>
    <phoneticPr fontId="16"/>
  </si>
  <si>
    <t>N9</t>
    <phoneticPr fontId="16"/>
  </si>
  <si>
    <t>計ΣN</t>
    <rPh sb="0" eb="1">
      <t>ケイ</t>
    </rPh>
    <phoneticPr fontId="16"/>
  </si>
  <si>
    <t>接地圧</t>
    <rPh sb="0" eb="3">
      <t>セッチアツ</t>
    </rPh>
    <phoneticPr fontId="16"/>
  </si>
  <si>
    <t>σmax σmin</t>
    <phoneticPr fontId="16"/>
  </si>
  <si>
    <t>（1±6e/B）</t>
    <phoneticPr fontId="16"/>
  </si>
  <si>
    <t>(1)Ａ点まわりの転倒モーメント(Mt)の算定：</t>
    <rPh sb="21" eb="23">
      <t>サンテイ</t>
    </rPh>
    <phoneticPr fontId="16"/>
  </si>
  <si>
    <t>P1*(H/2+Df)↓</t>
    <phoneticPr fontId="16"/>
  </si>
  <si>
    <t>kN</t>
    <phoneticPr fontId="16"/>
  </si>
  <si>
    <t>m(H/2)</t>
    <phoneticPr fontId="16"/>
  </si>
  <si>
    <t>m(Dfa)</t>
    <phoneticPr fontId="16"/>
  </si>
  <si>
    <t>kN*m</t>
    <phoneticPr fontId="16"/>
  </si>
  <si>
    <t>壁20Mt＝</t>
    <rPh sb="0" eb="1">
      <t>カベ</t>
    </rPh>
    <phoneticPr fontId="16"/>
  </si>
  <si>
    <t>×(</t>
    <phoneticPr fontId="16"/>
  </si>
  <si>
    <t>＋</t>
    <phoneticPr fontId="16"/>
  </si>
  <si>
    <t>)＝</t>
    <phoneticPr fontId="16"/>
  </si>
  <si>
    <t>あ</t>
    <phoneticPr fontId="16"/>
  </si>
  <si>
    <t>P2*(H/2+Df)↓</t>
    <phoneticPr fontId="16"/>
  </si>
  <si>
    <t>m(階高3.25/2)</t>
    <rPh sb="2" eb="4">
      <t>カイダカ</t>
    </rPh>
    <phoneticPr fontId="16"/>
  </si>
  <si>
    <t>壁W15aMt＝</t>
    <rPh sb="0" eb="1">
      <t>カベ</t>
    </rPh>
    <phoneticPr fontId="16"/>
  </si>
  <si>
    <t>k</t>
    <phoneticPr fontId="16"/>
  </si>
  <si>
    <t>Z</t>
    <phoneticPr fontId="16"/>
  </si>
  <si>
    <t>屋外階段</t>
    <rPh sb="0" eb="2">
      <t>オクガイ</t>
    </rPh>
    <rPh sb="2" eb="4">
      <t>カイダン</t>
    </rPh>
    <phoneticPr fontId="16"/>
  </si>
  <si>
    <t>)×</t>
    <phoneticPr fontId="16"/>
  </si>
  <si>
    <t>kN</t>
  </si>
  <si>
    <t>m　H</t>
    <phoneticPr fontId="16"/>
  </si>
  <si>
    <t>庇</t>
    <rPh sb="0" eb="1">
      <t>ヒサシ</t>
    </rPh>
    <phoneticPr fontId="16"/>
  </si>
  <si>
    <t>ΣMt</t>
    <phoneticPr fontId="16"/>
  </si>
  <si>
    <t>(2)Ａ点まわりの抵抗モーメントの(Mr)算定：Mr＝N1×L1～N9×L9</t>
    <rPh sb="21" eb="23">
      <t>サンテイ</t>
    </rPh>
    <phoneticPr fontId="16"/>
  </si>
  <si>
    <t>e&gt;B/6のとき　</t>
    <phoneticPr fontId="16"/>
  </si>
  <si>
    <t xml:space="preserve">σmax </t>
    <phoneticPr fontId="16"/>
  </si>
  <si>
    <t>N1×L1＝</t>
    <phoneticPr fontId="16"/>
  </si>
  <si>
    <t>A</t>
    <phoneticPr fontId="16"/>
  </si>
  <si>
    <t>3(1/2-e/B)</t>
    <phoneticPr fontId="16"/>
  </si>
  <si>
    <t>N2×L2＝</t>
    <phoneticPr fontId="16"/>
  </si>
  <si>
    <t>B/6=</t>
    <phoneticPr fontId="16"/>
  </si>
  <si>
    <t>N3×L3＝</t>
    <phoneticPr fontId="16"/>
  </si>
  <si>
    <t>長期検討は</t>
    <rPh sb="0" eb="4">
      <t>チョウキケントウ</t>
    </rPh>
    <phoneticPr fontId="16"/>
  </si>
  <si>
    <t>ΣMr</t>
    <phoneticPr fontId="16"/>
  </si>
  <si>
    <t>N4×L4＝</t>
    <phoneticPr fontId="16"/>
  </si>
  <si>
    <t>N5×L5＝</t>
    <phoneticPr fontId="16"/>
  </si>
  <si>
    <t>N6×L6＝</t>
    <phoneticPr fontId="16"/>
  </si>
  <si>
    <t>N7×L7＝</t>
    <phoneticPr fontId="16"/>
  </si>
  <si>
    <t>N8×L8＝</t>
    <phoneticPr fontId="16"/>
  </si>
  <si>
    <t>N9×L9＝</t>
    <phoneticPr fontId="16"/>
  </si>
  <si>
    <t>に該当する。</t>
    <rPh sb="1" eb="3">
      <t>ガイトウ</t>
    </rPh>
    <phoneticPr fontId="16"/>
  </si>
  <si>
    <t>(3)転倒に対する確認：</t>
    <rPh sb="3" eb="5">
      <t>テントウ</t>
    </rPh>
    <rPh sb="6" eb="7">
      <t>タイ</t>
    </rPh>
    <rPh sb="9" eb="11">
      <t>カクニン</t>
    </rPh>
    <phoneticPr fontId="16"/>
  </si>
  <si>
    <t>Mr/Mt＝</t>
    <phoneticPr fontId="16"/>
  </si>
  <si>
    <t>/</t>
    <phoneticPr fontId="16"/>
  </si>
  <si>
    <t>⇒</t>
    <phoneticPr fontId="16"/>
  </si>
  <si>
    <t>3×(1/2-0.234/1.1)</t>
    <phoneticPr fontId="16"/>
  </si>
  <si>
    <t>(4)RC壁縦筋の算定：(設計壁縦筋⇒</t>
    <rPh sb="5" eb="6">
      <t>カベ</t>
    </rPh>
    <rPh sb="6" eb="7">
      <t>タテ</t>
    </rPh>
    <rPh sb="7" eb="8">
      <t>キン</t>
    </rPh>
    <rPh sb="9" eb="11">
      <t>サンテイ</t>
    </rPh>
    <phoneticPr fontId="16"/>
  </si>
  <si>
    <t>D13</t>
    <phoneticPr fontId="16"/>
  </si>
  <si>
    <t>本 , 径</t>
    <rPh sb="0" eb="1">
      <t>ホン</t>
    </rPh>
    <rPh sb="4" eb="5">
      <t>ケイ</t>
    </rPh>
    <phoneticPr fontId="16"/>
  </si>
  <si>
    <t>m㎡</t>
    <phoneticPr fontId="16"/>
  </si>
  <si>
    <t>N/m㎡</t>
    <phoneticPr fontId="16"/>
  </si>
  <si>
    <t>A＝</t>
    <phoneticPr fontId="16"/>
  </si>
  <si>
    <t>,</t>
    <phoneticPr fontId="16"/>
  </si>
  <si>
    <t>ft</t>
    <phoneticPr fontId="16"/>
  </si>
  <si>
    <t>(鉄筋の短期許容応力度)</t>
    <phoneticPr fontId="16"/>
  </si>
  <si>
    <t>m(t)</t>
    <phoneticPr fontId="16"/>
  </si>
  <si>
    <t>mm</t>
    <phoneticPr fontId="16"/>
  </si>
  <si>
    <t>d＝(</t>
    <phoneticPr fontId="16"/>
  </si>
  <si>
    <t>－</t>
    <phoneticPr fontId="16"/>
  </si>
  <si>
    <t>)</t>
    <phoneticPr fontId="16"/>
  </si>
  <si>
    <t>kN/㎡</t>
  </si>
  <si>
    <t>(qu)kN/㎡</t>
    <phoneticPr fontId="16"/>
  </si>
  <si>
    <t>j＝</t>
    <phoneticPr fontId="16"/>
  </si>
  <si>
    <t>qu'</t>
  </si>
  <si>
    <t>↑地盤の許容支持力度</t>
    <rPh sb="1" eb="3">
      <t>ジバン</t>
    </rPh>
    <phoneticPr fontId="16"/>
  </si>
  <si>
    <t xml:space="preserve">  必要鉄筋量(at)＝</t>
    <rPh sb="2" eb="4">
      <t>ヒツヨウ</t>
    </rPh>
    <rPh sb="4" eb="6">
      <t>テッキン</t>
    </rPh>
    <rPh sb="6" eb="7">
      <t>リョウ</t>
    </rPh>
    <phoneticPr fontId="16"/>
  </si>
  <si>
    <t>/(</t>
    <phoneticPr fontId="16"/>
  </si>
  <si>
    <t>1m当たりの必要本数＝</t>
    <rPh sb="2" eb="3">
      <t>ア</t>
    </rPh>
    <rPh sb="6" eb="8">
      <t>ヒツヨウ</t>
    </rPh>
    <rPh sb="8" eb="10">
      <t>ホンスウ</t>
    </rPh>
    <phoneticPr fontId="16"/>
  </si>
  <si>
    <t>at</t>
    <phoneticPr fontId="16"/>
  </si>
  <si>
    <t>本</t>
    <rPh sb="0" eb="1">
      <t>ホン</t>
    </rPh>
    <phoneticPr fontId="16"/>
  </si>
  <si>
    <t>1ｍ当たり/必要本数</t>
    <rPh sb="2" eb="3">
      <t>ア</t>
    </rPh>
    <phoneticPr fontId="16"/>
  </si>
  <si>
    <t>@</t>
    <phoneticPr fontId="16"/>
  </si>
  <si>
    <t>必要配筋(X)間隔＝</t>
    <phoneticPr fontId="16"/>
  </si>
  <si>
    <t>(5)基礎下部地盤の許容支持力度の確認:必要接地圧(qu')＝N4/(B*L)</t>
    <rPh sb="20" eb="22">
      <t>ヒツヨウ</t>
    </rPh>
    <rPh sb="22" eb="24">
      <t>セッチ</t>
    </rPh>
    <rPh sb="24" eb="25">
      <t>アツ</t>
    </rPh>
    <phoneticPr fontId="16"/>
  </si>
  <si>
    <t>m(B)</t>
    <phoneticPr fontId="16"/>
  </si>
  <si>
    <t>qu'＝</t>
    <phoneticPr fontId="16"/>
  </si>
  <si>
    <t>接地圧の確認（短期）</t>
    <rPh sb="0" eb="3">
      <t>セッチアツ</t>
    </rPh>
    <rPh sb="4" eb="6">
      <t>カクニン</t>
    </rPh>
    <rPh sb="7" eb="9">
      <t>タンキ</t>
    </rPh>
    <phoneticPr fontId="16"/>
  </si>
  <si>
    <t>M</t>
    <phoneticPr fontId="16"/>
  </si>
  <si>
    <t>N</t>
    <phoneticPr fontId="16"/>
  </si>
  <si>
    <t>e＝</t>
    <phoneticPr fontId="16"/>
  </si>
  <si>
    <t>検討式２</t>
    <rPh sb="0" eb="3">
      <t>ケントウシキ</t>
    </rPh>
    <phoneticPr fontId="16"/>
  </si>
  <si>
    <t>荷重の合力作用位置が擁壁底面幅中央のB/3の範囲内にあるかの確認</t>
    <rPh sb="0" eb="2">
      <t>カジュウ</t>
    </rPh>
    <rPh sb="3" eb="5">
      <t>ゴウリキ</t>
    </rPh>
    <rPh sb="5" eb="9">
      <t>サヨウイチ</t>
    </rPh>
    <rPh sb="10" eb="12">
      <t>ヨウヘキ</t>
    </rPh>
    <rPh sb="12" eb="14">
      <t>テイメン</t>
    </rPh>
    <rPh sb="14" eb="15">
      <t>ハバ</t>
    </rPh>
    <rPh sb="15" eb="17">
      <t>チュウオウ</t>
    </rPh>
    <rPh sb="22" eb="24">
      <t>ハンイ</t>
    </rPh>
    <rPh sb="24" eb="25">
      <t>ナイ</t>
    </rPh>
    <rPh sb="30" eb="32">
      <t>カクニン</t>
    </rPh>
    <phoneticPr fontId="16"/>
  </si>
  <si>
    <t>B/3</t>
    <phoneticPr fontId="16"/>
  </si>
  <si>
    <t>B/(3*2)</t>
    <phoneticPr fontId="16"/>
  </si>
  <si>
    <t>※下記範囲に収まるか確認↓</t>
    <rPh sb="1" eb="3">
      <t>カキ</t>
    </rPh>
    <rPh sb="3" eb="5">
      <t>ハンイ</t>
    </rPh>
    <rPh sb="6" eb="7">
      <t>オサ</t>
    </rPh>
    <rPh sb="10" eb="12">
      <t>カクニン</t>
    </rPh>
    <phoneticPr fontId="16"/>
  </si>
  <si>
    <t>荷重の合力作用位置が擁壁底面幅中央のB/3から2B/3の範囲内にあるかの確認</t>
    <rPh sb="0" eb="2">
      <t>カジュウ</t>
    </rPh>
    <rPh sb="3" eb="5">
      <t>ゴウリキ</t>
    </rPh>
    <rPh sb="5" eb="9">
      <t>サヨウイチ</t>
    </rPh>
    <rPh sb="10" eb="12">
      <t>ヨウヘキ</t>
    </rPh>
    <rPh sb="12" eb="14">
      <t>テイメン</t>
    </rPh>
    <rPh sb="14" eb="15">
      <t>ハバ</t>
    </rPh>
    <rPh sb="15" eb="17">
      <t>チュウオウ</t>
    </rPh>
    <rPh sb="28" eb="30">
      <t>ハンイ</t>
    </rPh>
    <rPh sb="30" eb="31">
      <t>ナイ</t>
    </rPh>
    <rPh sb="36" eb="38">
      <t>カクニン</t>
    </rPh>
    <phoneticPr fontId="16"/>
  </si>
  <si>
    <t>2B/3</t>
    <phoneticPr fontId="16"/>
  </si>
  <si>
    <t>短期検討は</t>
    <rPh sb="0" eb="2">
      <t>タンキ</t>
    </rPh>
    <rPh sb="2" eb="4">
      <t>ケントウ</t>
    </rPh>
    <phoneticPr fontId="16"/>
  </si>
  <si>
    <t>σmax     σmin</t>
    <phoneticPr fontId="16"/>
  </si>
  <si>
    <t>B/3≧e&gt;B/6のとき　</t>
    <phoneticPr fontId="16"/>
  </si>
  <si>
    <t>※B/6=</t>
    <phoneticPr fontId="16"/>
  </si>
  <si>
    <t>↑地盤の許容支持力度 （長期の2倍)</t>
    <rPh sb="1" eb="3">
      <t>ジバン</t>
    </rPh>
    <rPh sb="12" eb="14">
      <t>チョウキ</t>
    </rPh>
    <rPh sb="16" eb="17">
      <t>バイ</t>
    </rPh>
    <phoneticPr fontId="16"/>
  </si>
  <si>
    <t>偏芯距離eの計算 地震時</t>
    <rPh sb="0" eb="4">
      <t>ヘンシンキョリ</t>
    </rPh>
    <rPh sb="6" eb="8">
      <t>ケイサン</t>
    </rPh>
    <rPh sb="9" eb="12">
      <t>ジシンジ</t>
    </rPh>
    <phoneticPr fontId="16"/>
  </si>
  <si>
    <t>偏芯距離eの計算 短期（長期+地震）</t>
    <rPh sb="0" eb="4">
      <t>ヘンシンキョリ</t>
    </rPh>
    <rPh sb="6" eb="8">
      <t>ケイサン</t>
    </rPh>
    <rPh sb="9" eb="11">
      <t>タンキ</t>
    </rPh>
    <rPh sb="12" eb="14">
      <t>チョウキ</t>
    </rPh>
    <rPh sb="15" eb="17">
      <t>ジシン</t>
    </rPh>
    <phoneticPr fontId="16"/>
  </si>
  <si>
    <t>+</t>
    <phoneticPr fontId="16"/>
  </si>
  <si>
    <t>※B/6＝</t>
    <phoneticPr fontId="16"/>
  </si>
  <si>
    <t>↑地盤の短期許容支持力度 KT基礎より</t>
    <rPh sb="1" eb="3">
      <t>ジバン</t>
    </rPh>
    <rPh sb="4" eb="6">
      <t>タンキ</t>
    </rPh>
    <rPh sb="15" eb="17">
      <t>キソ</t>
    </rPh>
    <phoneticPr fontId="16"/>
  </si>
  <si>
    <t>荷重傾斜角</t>
    <rPh sb="0" eb="2">
      <t>カジュウ</t>
    </rPh>
    <rPh sb="2" eb="5">
      <t>ケイシャカク</t>
    </rPh>
    <phoneticPr fontId="16"/>
  </si>
  <si>
    <t>考慮する</t>
  </si>
  <si>
    <t>転倒の検討 E通り　地震と風比較 W＝P1算出</t>
    <rPh sb="0" eb="2">
      <t>テントウ</t>
    </rPh>
    <rPh sb="3" eb="5">
      <t>ケントウ</t>
    </rPh>
    <rPh sb="7" eb="8">
      <t>トオ</t>
    </rPh>
    <rPh sb="10" eb="12">
      <t>ジシン</t>
    </rPh>
    <rPh sb="13" eb="14">
      <t>カゼ</t>
    </rPh>
    <rPh sb="14" eb="16">
      <t>ヒカク</t>
    </rPh>
    <rPh sb="21" eb="23">
      <t>サンシュツ</t>
    </rPh>
    <phoneticPr fontId="16"/>
  </si>
  <si>
    <t>←短期の検討</t>
    <rPh sb="1" eb="3">
      <t>タンキ</t>
    </rPh>
    <rPh sb="4" eb="6">
      <t>ケントウ</t>
    </rPh>
    <phoneticPr fontId="16"/>
  </si>
  <si>
    <t>1)設計荷重</t>
    <rPh sb="2" eb="4">
      <t>セッケイ</t>
    </rPh>
    <rPh sb="4" eb="6">
      <t>カジュウ</t>
    </rPh>
    <phoneticPr fontId="16"/>
  </si>
  <si>
    <t>H＝H1+H2</t>
    <phoneticPr fontId="16"/>
  </si>
  <si>
    <t>1-1) 地震力 W1</t>
    <rPh sb="5" eb="7">
      <t>ジシン</t>
    </rPh>
    <rPh sb="7" eb="8">
      <t>リョク</t>
    </rPh>
    <phoneticPr fontId="16"/>
  </si>
  <si>
    <t>H1＝</t>
    <phoneticPr fontId="16"/>
  </si>
  <si>
    <t>地域係数Z</t>
    <rPh sb="0" eb="2">
      <t>チイキ</t>
    </rPh>
    <rPh sb="2" eb="4">
      <t>ケイスウ</t>
    </rPh>
    <phoneticPr fontId="16"/>
  </si>
  <si>
    <t>：</t>
    <phoneticPr fontId="16"/>
  </si>
  <si>
    <t>H2=</t>
    <phoneticPr fontId="16"/>
  </si>
  <si>
    <t>根入れ</t>
    <rPh sb="0" eb="2">
      <t>ネイ</t>
    </rPh>
    <phoneticPr fontId="16"/>
  </si>
  <si>
    <t>震度係数ｋ</t>
    <rPh sb="0" eb="2">
      <t>シンド</t>
    </rPh>
    <rPh sb="2" eb="4">
      <t>ケイスウ</t>
    </rPh>
    <phoneticPr fontId="16"/>
  </si>
  <si>
    <t>W20 kN/㎡</t>
    <phoneticPr fontId="43"/>
  </si>
  <si>
    <t>H</t>
    <phoneticPr fontId="43"/>
  </si>
  <si>
    <t>1ｍ当り</t>
    <rPh sb="2" eb="3">
      <t>アタ</t>
    </rPh>
    <phoneticPr fontId="43"/>
  </si>
  <si>
    <t>設計重量N</t>
    <rPh sb="0" eb="2">
      <t>セッケイ</t>
    </rPh>
    <rPh sb="2" eb="4">
      <t>ジュウリョウ</t>
    </rPh>
    <phoneticPr fontId="16"/>
  </si>
  <si>
    <t>ｋN</t>
    <phoneticPr fontId="43"/>
  </si>
  <si>
    <t>*</t>
    <phoneticPr fontId="43"/>
  </si>
  <si>
    <t>=</t>
    <phoneticPr fontId="43"/>
  </si>
  <si>
    <t>合計</t>
    <rPh sb="0" eb="1">
      <t>ゴウ</t>
    </rPh>
    <rPh sb="1" eb="2">
      <t>ケイ</t>
    </rPh>
    <phoneticPr fontId="16"/>
  </si>
  <si>
    <t>W1</t>
    <phoneticPr fontId="16"/>
  </si>
  <si>
    <t>Ｚ ・ ｋ ・ N</t>
    <phoneticPr fontId="16"/>
  </si>
  <si>
    <t>*</t>
    <phoneticPr fontId="16"/>
  </si>
  <si>
    <t>ｋN</t>
    <phoneticPr fontId="16"/>
  </si>
  <si>
    <t>1-2) 風圧力 W2</t>
    <rPh sb="5" eb="7">
      <t>フウアツ</t>
    </rPh>
    <rPh sb="7" eb="8">
      <t>リョク</t>
    </rPh>
    <phoneticPr fontId="16"/>
  </si>
  <si>
    <t>高さ　H</t>
    <rPh sb="0" eb="1">
      <t>タカ</t>
    </rPh>
    <phoneticPr fontId="16"/>
  </si>
  <si>
    <t>基準風速</t>
    <rPh sb="0" eb="2">
      <t>キジュン</t>
    </rPh>
    <rPh sb="2" eb="4">
      <t>フウソク</t>
    </rPh>
    <phoneticPr fontId="16"/>
  </si>
  <si>
    <t>m/s</t>
    <phoneticPr fontId="16"/>
  </si>
  <si>
    <t>地表面粗度区分</t>
    <rPh sb="0" eb="2">
      <t>チヒョウ</t>
    </rPh>
    <rPh sb="2" eb="3">
      <t>メン</t>
    </rPh>
    <rPh sb="3" eb="4">
      <t>ソ</t>
    </rPh>
    <rPh sb="4" eb="5">
      <t>ド</t>
    </rPh>
    <rPh sb="5" eb="7">
      <t>クブン</t>
    </rPh>
    <phoneticPr fontId="16"/>
  </si>
  <si>
    <t>Ⅲ</t>
    <phoneticPr fontId="16"/>
  </si>
  <si>
    <t>地表粗度区分に応じた係数</t>
    <rPh sb="0" eb="2">
      <t>チヒョウ</t>
    </rPh>
    <rPh sb="2" eb="3">
      <t>ソ</t>
    </rPh>
    <rPh sb="3" eb="4">
      <t>ド</t>
    </rPh>
    <rPh sb="4" eb="6">
      <t>クブン</t>
    </rPh>
    <rPh sb="7" eb="8">
      <t>オウ</t>
    </rPh>
    <rPh sb="10" eb="12">
      <t>ケイスウ</t>
    </rPh>
    <phoneticPr fontId="16"/>
  </si>
  <si>
    <t>Zb</t>
    <phoneticPr fontId="16"/>
  </si>
  <si>
    <t>ZG</t>
    <phoneticPr fontId="16"/>
  </si>
  <si>
    <t>α</t>
    <phoneticPr fontId="16"/>
  </si>
  <si>
    <t>平均風速の高さ方向の分布係数 Er</t>
    <rPh sb="0" eb="2">
      <t>ヘイキン</t>
    </rPh>
    <rPh sb="2" eb="4">
      <t>フウソク</t>
    </rPh>
    <rPh sb="5" eb="6">
      <t>タカ</t>
    </rPh>
    <rPh sb="7" eb="9">
      <t>ホウコウ</t>
    </rPh>
    <rPh sb="10" eb="12">
      <t>ブンプ</t>
    </rPh>
    <rPh sb="12" eb="14">
      <t>ケイスウ</t>
    </rPh>
    <phoneticPr fontId="16"/>
  </si>
  <si>
    <t>* （</t>
    <phoneticPr fontId="16"/>
  </si>
  <si>
    <t>) ^</t>
    <phoneticPr fontId="16"/>
  </si>
  <si>
    <t>←</t>
    <phoneticPr fontId="16"/>
  </si>
  <si>
    <r>
      <t>Zb≧Hの場合　1.7*（Zb/Z</t>
    </r>
    <r>
      <rPr>
        <vertAlign val="subscript"/>
        <sz val="11"/>
        <color rgb="FFFF0000"/>
        <rFont val="しねきゃぷしょん"/>
        <family val="3"/>
        <charset val="128"/>
      </rPr>
      <t>G</t>
    </r>
    <r>
      <rPr>
        <sz val="11"/>
        <color rgb="FFFF0000"/>
        <rFont val="しねきゃぷしょん"/>
        <family val="3"/>
        <charset val="128"/>
      </rPr>
      <t>）＾</t>
    </r>
    <r>
      <rPr>
        <vertAlign val="superscript"/>
        <sz val="11"/>
        <color rgb="FFFF0000"/>
        <rFont val="しねきゃぷしょん"/>
        <family val="3"/>
        <charset val="128"/>
      </rPr>
      <t>α</t>
    </r>
    <rPh sb="5" eb="7">
      <t>バアイ</t>
    </rPh>
    <phoneticPr fontId="16"/>
  </si>
  <si>
    <t>ガスト影響係数 Gf</t>
    <rPh sb="3" eb="5">
      <t>エイキョウ</t>
    </rPh>
    <rPh sb="5" eb="7">
      <t>ケイスウ</t>
    </rPh>
    <phoneticPr fontId="16"/>
  </si>
  <si>
    <r>
      <t>Zb＜Hの場合　1.7*（H/Z</t>
    </r>
    <r>
      <rPr>
        <vertAlign val="subscript"/>
        <sz val="11"/>
        <color rgb="FFFF0000"/>
        <rFont val="しねきゃぷしょん"/>
        <family val="3"/>
        <charset val="128"/>
      </rPr>
      <t>G</t>
    </r>
    <r>
      <rPr>
        <sz val="11"/>
        <color rgb="FFFF0000"/>
        <rFont val="しねきゃぷしょん"/>
        <family val="3"/>
        <charset val="128"/>
      </rPr>
      <t>）＾</t>
    </r>
    <r>
      <rPr>
        <vertAlign val="superscript"/>
        <sz val="11"/>
        <color rgb="FFFF0000"/>
        <rFont val="しねきゃぷしょん"/>
        <family val="3"/>
        <charset val="128"/>
      </rPr>
      <t>α</t>
    </r>
    <rPh sb="5" eb="7">
      <t>バアイ</t>
    </rPh>
    <phoneticPr fontId="16"/>
  </si>
  <si>
    <t>速度圧の高さ方向の分布係数 E</t>
    <rPh sb="0" eb="2">
      <t>ソクド</t>
    </rPh>
    <rPh sb="2" eb="3">
      <t>アツ</t>
    </rPh>
    <rPh sb="4" eb="5">
      <t>タカ</t>
    </rPh>
    <rPh sb="6" eb="8">
      <t>ホウコウ</t>
    </rPh>
    <rPh sb="9" eb="11">
      <t>ブンプ</t>
    </rPh>
    <rPh sb="11" eb="13">
      <t>ケイスウ</t>
    </rPh>
    <phoneticPr fontId="16"/>
  </si>
  <si>
    <t>^2</t>
    <phoneticPr fontId="16"/>
  </si>
  <si>
    <t>速度圧 q</t>
    <rPh sb="0" eb="2">
      <t>ソクド</t>
    </rPh>
    <rPh sb="2" eb="3">
      <t>アツ</t>
    </rPh>
    <phoneticPr fontId="16"/>
  </si>
  <si>
    <t>N/㎡</t>
    <phoneticPr fontId="16"/>
  </si>
  <si>
    <t>風力係数 C</t>
    <rPh sb="0" eb="2">
      <t>フウリョク</t>
    </rPh>
    <rPh sb="2" eb="4">
      <t>ケイスウ</t>
    </rPh>
    <phoneticPr fontId="16"/>
  </si>
  <si>
    <t>W2</t>
    <phoneticPr fontId="16"/>
  </si>
  <si>
    <t>ｑ ・ C ・ 1m当たり</t>
    <rPh sb="10" eb="11">
      <t>ア</t>
    </rPh>
    <phoneticPr fontId="16"/>
  </si>
  <si>
    <t>1-3) 設計荷重 W</t>
    <rPh sb="5" eb="7">
      <t>セッケイ</t>
    </rPh>
    <rPh sb="7" eb="9">
      <t>カジュウ</t>
    </rPh>
    <phoneticPr fontId="16"/>
  </si>
  <si>
    <t>:</t>
    <phoneticPr fontId="16"/>
  </si>
  <si>
    <t>Max ( W1 , W2 )</t>
    <phoneticPr fontId="16"/>
  </si>
  <si>
    <t>4. 設計応力 M</t>
    <rPh sb="3" eb="5">
      <t>セッケイ</t>
    </rPh>
    <rPh sb="5" eb="7">
      <t>オウリョク</t>
    </rPh>
    <phoneticPr fontId="16"/>
  </si>
  <si>
    <r>
      <t>1 / 8 ・ W ・ L</t>
    </r>
    <r>
      <rPr>
        <vertAlign val="superscript"/>
        <sz val="10"/>
        <color theme="1"/>
        <rFont val="ＭＳ Ｐ明朝"/>
        <family val="1"/>
        <charset val="128"/>
      </rPr>
      <t>2</t>
    </r>
    <phoneticPr fontId="16"/>
  </si>
  <si>
    <t>軒高</t>
    <rPh sb="0" eb="1">
      <t>ノキ</t>
    </rPh>
    <rPh sb="1" eb="2">
      <t>タカ</t>
    </rPh>
    <phoneticPr fontId="43"/>
  </si>
  <si>
    <t>＾2</t>
    <phoneticPr fontId="16"/>
  </si>
  <si>
    <t>ｋN･ｍ</t>
    <phoneticPr fontId="16"/>
  </si>
  <si>
    <t>≒</t>
    <phoneticPr fontId="43"/>
  </si>
  <si>
    <t>5. 壁諸元</t>
    <rPh sb="3" eb="4">
      <t>カベ</t>
    </rPh>
    <rPh sb="4" eb="5">
      <t>ショ</t>
    </rPh>
    <rPh sb="5" eb="6">
      <t>ゲン</t>
    </rPh>
    <phoneticPr fontId="16"/>
  </si>
  <si>
    <t>コンクリート強度fc</t>
    <rPh sb="6" eb="8">
      <t>キョウド</t>
    </rPh>
    <phoneticPr fontId="16"/>
  </si>
  <si>
    <r>
      <t>N/mm</t>
    </r>
    <r>
      <rPr>
        <vertAlign val="superscript"/>
        <sz val="10"/>
        <color theme="1"/>
        <rFont val="ＭＳ Ｐ明朝"/>
        <family val="1"/>
        <charset val="128"/>
      </rPr>
      <t>2</t>
    </r>
    <phoneticPr fontId="16"/>
  </si>
  <si>
    <t>鉄筋許容引張応力度ｆt</t>
    <rPh sb="0" eb="2">
      <t>テッキン</t>
    </rPh>
    <rPh sb="2" eb="4">
      <t>キョヨウ</t>
    </rPh>
    <rPh sb="4" eb="5">
      <t>ヒ</t>
    </rPh>
    <rPh sb="5" eb="6">
      <t>パ</t>
    </rPh>
    <rPh sb="6" eb="8">
      <t>オウリョク</t>
    </rPh>
    <rPh sb="8" eb="9">
      <t>ド</t>
    </rPh>
    <phoneticPr fontId="16"/>
  </si>
  <si>
    <t>N/㎟</t>
    <phoneticPr fontId="16"/>
  </si>
  <si>
    <t>壁厚ｔ</t>
    <rPh sb="0" eb="1">
      <t>カベ</t>
    </rPh>
    <rPh sb="1" eb="2">
      <t>アツシ</t>
    </rPh>
    <phoneticPr fontId="16"/>
  </si>
  <si>
    <t>有効せいｄ</t>
    <rPh sb="0" eb="2">
      <t>ユウコウ</t>
    </rPh>
    <phoneticPr fontId="16"/>
  </si>
  <si>
    <t>応力中心間距離ｊ</t>
    <rPh sb="0" eb="2">
      <t>オウリョク</t>
    </rPh>
    <rPh sb="2" eb="4">
      <t>チュウシン</t>
    </rPh>
    <rPh sb="4" eb="5">
      <t>カン</t>
    </rPh>
    <rPh sb="5" eb="7">
      <t>キョリ</t>
    </rPh>
    <phoneticPr fontId="16"/>
  </si>
  <si>
    <t>6. 必要鉄筋量 at</t>
    <rPh sb="3" eb="5">
      <t>ヒツヨウ</t>
    </rPh>
    <rPh sb="5" eb="7">
      <t>テッキン</t>
    </rPh>
    <rPh sb="7" eb="8">
      <t>リョウ</t>
    </rPh>
    <phoneticPr fontId="16"/>
  </si>
  <si>
    <t>at =</t>
    <phoneticPr fontId="16"/>
  </si>
  <si>
    <t>M / ft ･ j</t>
    <phoneticPr fontId="16"/>
  </si>
  <si>
    <t>＾6</t>
    <phoneticPr fontId="16"/>
  </si>
  <si>
    <r>
      <t>mm</t>
    </r>
    <r>
      <rPr>
        <vertAlign val="superscript"/>
        <sz val="10"/>
        <color theme="1"/>
        <rFont val="ＭＳ Ｐ明朝"/>
        <family val="1"/>
        <charset val="128"/>
      </rPr>
      <t>2</t>
    </r>
    <phoneticPr fontId="16"/>
  </si>
  <si>
    <t>＠</t>
    <phoneticPr fontId="16"/>
  </si>
  <si>
    <t>100＠</t>
    <phoneticPr fontId="16"/>
  </si>
  <si>
    <t>150＠</t>
    <phoneticPr fontId="16"/>
  </si>
  <si>
    <t>200＠</t>
    <phoneticPr fontId="16"/>
  </si>
  <si>
    <t>断面積D</t>
    <rPh sb="0" eb="3">
      <t>ダンメンセキ</t>
    </rPh>
    <phoneticPr fontId="16"/>
  </si>
  <si>
    <t>700＠</t>
    <phoneticPr fontId="16"/>
  </si>
  <si>
    <t>800＠</t>
    <phoneticPr fontId="16"/>
  </si>
  <si>
    <t>x =</t>
    <phoneticPr fontId="16"/>
  </si>
  <si>
    <t>A ・ 1ｍ当り / at</t>
    <phoneticPr fontId="16"/>
  </si>
  <si>
    <t>900＠</t>
    <phoneticPr fontId="16"/>
  </si>
  <si>
    <t>999＠</t>
    <phoneticPr fontId="16"/>
  </si>
  <si>
    <t>∴</t>
    <phoneticPr fontId="16"/>
  </si>
  <si>
    <t>Ｄ</t>
    <phoneticPr fontId="16"/>
  </si>
  <si>
    <t>200＠</t>
  </si>
  <si>
    <t>（ｼﾝｸﾞﾙ）</t>
    <phoneticPr fontId="16"/>
  </si>
  <si>
    <t>D10 ･ 13</t>
    <phoneticPr fontId="16"/>
  </si>
  <si>
    <t>転倒の検討 F通り　地震と風比較　W=P2算出</t>
    <rPh sb="0" eb="2">
      <t>テントウ</t>
    </rPh>
    <rPh sb="3" eb="5">
      <t>ケントウ</t>
    </rPh>
    <rPh sb="7" eb="8">
      <t>トオ</t>
    </rPh>
    <rPh sb="10" eb="12">
      <t>ジシン</t>
    </rPh>
    <rPh sb="13" eb="14">
      <t>カゼ</t>
    </rPh>
    <rPh sb="14" eb="16">
      <t>ヒカク</t>
    </rPh>
    <rPh sb="21" eb="23">
      <t>サンシュツ</t>
    </rPh>
    <phoneticPr fontId="16"/>
  </si>
  <si>
    <t>W15a kN/㎡</t>
    <phoneticPr fontId="43"/>
  </si>
  <si>
    <t>接地圧の検討</t>
    <rPh sb="0" eb="3">
      <t>セッチアツ</t>
    </rPh>
    <rPh sb="4" eb="6">
      <t>ケントウ</t>
    </rPh>
    <phoneticPr fontId="2"/>
  </si>
  <si>
    <t>下記、検討式及び図より接地圧係数αを算出し、軸力に乗じることで接地圧の検討を行う。</t>
    <rPh sb="0" eb="2">
      <t>カキ</t>
    </rPh>
    <rPh sb="3" eb="6">
      <t>ケントウシキ</t>
    </rPh>
    <rPh sb="6" eb="7">
      <t>オヨ</t>
    </rPh>
    <rPh sb="8" eb="9">
      <t>ズ</t>
    </rPh>
    <rPh sb="11" eb="13">
      <t>セッチ</t>
    </rPh>
    <rPh sb="13" eb="14">
      <t>アツ</t>
    </rPh>
    <rPh sb="14" eb="16">
      <t>ケイスウ</t>
    </rPh>
    <rPh sb="18" eb="20">
      <t>サンシュツ</t>
    </rPh>
    <rPh sb="22" eb="23">
      <t>ジク</t>
    </rPh>
    <rPh sb="23" eb="24">
      <t>リョク</t>
    </rPh>
    <rPh sb="25" eb="26">
      <t>ジョウ</t>
    </rPh>
    <rPh sb="31" eb="33">
      <t>セッチ</t>
    </rPh>
    <rPh sb="33" eb="34">
      <t>アツ</t>
    </rPh>
    <rPh sb="35" eb="37">
      <t>ケントウ</t>
    </rPh>
    <rPh sb="38" eb="39">
      <t>オコナ</t>
    </rPh>
    <phoneticPr fontId="2"/>
  </si>
  <si>
    <t>N1+N6+N5/2</t>
    <phoneticPr fontId="16"/>
  </si>
  <si>
    <t>e=</t>
    <phoneticPr fontId="16"/>
  </si>
  <si>
    <t>常時偏心距離</t>
    <rPh sb="0" eb="2">
      <t>ジョウジ</t>
    </rPh>
    <rPh sb="2" eb="6">
      <t>ヘンシンキョリ</t>
    </rPh>
    <phoneticPr fontId="16"/>
  </si>
  <si>
    <t>N7+N5/2</t>
    <phoneticPr fontId="16"/>
  </si>
  <si>
    <t>e'=</t>
    <phoneticPr fontId="16"/>
  </si>
  <si>
    <t>地震時偏心距離</t>
    <rPh sb="0" eb="3">
      <t>ジシンジ</t>
    </rPh>
    <rPh sb="3" eb="7">
      <t>ヘンシンキョリ</t>
    </rPh>
    <phoneticPr fontId="16"/>
  </si>
  <si>
    <t>Σe=</t>
    <phoneticPr fontId="16"/>
  </si>
  <si>
    <r>
      <rPr>
        <sz val="11"/>
        <color theme="1"/>
        <rFont val="ＭＳ Ｐゴシック"/>
        <family val="2"/>
        <charset val="128"/>
      </rPr>
      <t>短期偏心距離=</t>
    </r>
    <r>
      <rPr>
        <sz val="11"/>
        <color theme="1"/>
        <rFont val="Arial"/>
        <family val="2"/>
      </rPr>
      <t>e+e'</t>
    </r>
    <rPh sb="0" eb="2">
      <t>タンキ</t>
    </rPh>
    <rPh sb="2" eb="4">
      <t>ヘンシン</t>
    </rPh>
    <rPh sb="4" eb="6">
      <t>キョリ</t>
    </rPh>
    <phoneticPr fontId="16"/>
  </si>
  <si>
    <r>
      <rPr>
        <sz val="11"/>
        <color theme="1"/>
        <rFont val="Arial"/>
        <family val="2"/>
        <charset val="161"/>
      </rPr>
      <t>Σ</t>
    </r>
    <r>
      <rPr>
        <sz val="11"/>
        <color theme="1"/>
        <rFont val="Arial"/>
        <family val="2"/>
        <charset val="128"/>
      </rPr>
      <t>N=</t>
    </r>
    <phoneticPr fontId="16"/>
  </si>
  <si>
    <t>基礎含んだ重量N1～N9</t>
    <rPh sb="0" eb="2">
      <t>キソ</t>
    </rPh>
    <rPh sb="2" eb="3">
      <t>フク</t>
    </rPh>
    <rPh sb="5" eb="7">
      <t>ジュウリョウ</t>
    </rPh>
    <phoneticPr fontId="16"/>
  </si>
  <si>
    <t>③</t>
    <phoneticPr fontId="2"/>
  </si>
  <si>
    <t>④</t>
    <phoneticPr fontId="2"/>
  </si>
  <si>
    <t>◆</t>
    <phoneticPr fontId="16"/>
  </si>
  <si>
    <t>長期検討</t>
    <rPh sb="0" eb="4">
      <t>チョウキケントウ</t>
    </rPh>
    <phoneticPr fontId="16"/>
  </si>
  <si>
    <t>短期検討</t>
    <rPh sb="0" eb="2">
      <t>タンキ</t>
    </rPh>
    <rPh sb="2" eb="4">
      <t>ケントウ</t>
    </rPh>
    <phoneticPr fontId="16"/>
  </si>
  <si>
    <t>e'</t>
    <phoneticPr fontId="16"/>
  </si>
  <si>
    <r>
      <rPr>
        <sz val="11"/>
        <color theme="1"/>
        <rFont val="Arial"/>
        <family val="2"/>
        <charset val="161"/>
      </rPr>
      <t>Σ</t>
    </r>
    <r>
      <rPr>
        <sz val="11"/>
        <color theme="1"/>
        <rFont val="ＭＳ Ｐゴシック"/>
        <family val="2"/>
        <charset val="128"/>
      </rPr>
      <t>e=</t>
    </r>
    <phoneticPr fontId="16"/>
  </si>
  <si>
    <t>e+e'</t>
    <phoneticPr fontId="16"/>
  </si>
  <si>
    <r>
      <rPr>
        <sz val="11"/>
        <color theme="1"/>
        <rFont val="Arial"/>
        <family val="2"/>
        <charset val="161"/>
      </rPr>
      <t>Σ</t>
    </r>
    <r>
      <rPr>
        <sz val="11"/>
        <color theme="1"/>
        <rFont val="Arial"/>
        <family val="2"/>
        <charset val="128"/>
      </rPr>
      <t>N</t>
    </r>
    <phoneticPr fontId="16"/>
  </si>
  <si>
    <t>e’</t>
    <phoneticPr fontId="2"/>
  </si>
  <si>
    <t>地盤短期支持力</t>
    <rPh sb="0" eb="2">
      <t>ジバン</t>
    </rPh>
    <rPh sb="2" eb="4">
      <t>タンキ</t>
    </rPh>
    <rPh sb="4" eb="7">
      <t>シジリョク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</si>
</sst>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"/>
    <numFmt numFmtId="177" formatCode="0.0_ "/>
    <numFmt numFmtId="178" formatCode="0.0"/>
    <numFmt numFmtId="179" formatCode="0.00_ "/>
    <numFmt numFmtId="180" formatCode="0.000_ "/>
    <numFmt numFmtId="181" formatCode="0&quot;@&quot;"/>
    <numFmt numFmtId="182" formatCode="&quot;D&quot;0"/>
    <numFmt numFmtId="183" formatCode="0.00_);[Red]\(0.00\)"/>
    <numFmt numFmtId="184" formatCode="0_ "/>
    <numFmt numFmtId="185" formatCode="&quot; ⇒ ∴Ｒａ＝ &quot;0&quot; kN&quot;"/>
    <numFmt numFmtId="186" formatCode="&quot; ⇒  W = &quot;0.00&quot; kN&quot;"/>
    <numFmt numFmtId="187" formatCode="&quot; ⇒  M = &quot;0.00&quot; kN&quot;"/>
    <numFmt numFmtId="188" formatCode="&quot; ⇒  LＲａ = &quot;0&quot; kN&quot;"/>
    <numFmt numFmtId="189" formatCode="&quot;  ∴ LＲａ = &quot;0&quot; kN&quot;"/>
    <numFmt numFmtId="190" formatCode="&quot;( &quot;0"/>
  </numFmts>
  <fonts count="61">
    <font>
      <sz val="11"/>
      <color theme="1"/>
      <name val="Arial"/>
      <family val="2"/>
      <charset val="128"/>
    </font>
    <font>
      <sz val="11"/>
      <color rgb="FFFF0000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</font>
    <font>
      <sz val="11"/>
      <color theme="1"/>
      <name val="Arial"/>
      <family val="2"/>
      <charset val="161"/>
    </font>
    <font>
      <sz val="11"/>
      <color rgb="FF00B0F0"/>
      <name val="Arial"/>
      <family val="2"/>
      <charset val="128"/>
    </font>
    <font>
      <b/>
      <sz val="14"/>
      <color theme="1"/>
      <name val="ＭＳ Ｐゴシック"/>
      <family val="2"/>
      <charset val="128"/>
    </font>
    <font>
      <sz val="11"/>
      <color theme="1"/>
      <name val="Segoe UI Symbol"/>
      <family val="2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00B0F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B0F0"/>
      <name val="ＭＳ Ｐ明朝"/>
      <family val="1"/>
      <charset val="128"/>
    </font>
    <font>
      <b/>
      <sz val="11"/>
      <color rgb="FF00B0F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B0F0"/>
      <name val="游ゴシック"/>
      <family val="2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しねきゃぷしょん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6"/>
      <name val="ＭＳ 明朝"/>
      <family val="1"/>
      <charset val="128"/>
    </font>
    <font>
      <sz val="7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しねきゃぷしょん"/>
      <family val="3"/>
      <charset val="128"/>
    </font>
    <font>
      <vertAlign val="subscript"/>
      <sz val="11"/>
      <color rgb="FFFF0000"/>
      <name val="しねきゃぷしょん"/>
      <family val="3"/>
      <charset val="128"/>
    </font>
    <font>
      <vertAlign val="superscript"/>
      <sz val="11"/>
      <color rgb="FFFF0000"/>
      <name val="しねきゃぷしょん"/>
      <family val="3"/>
      <charset val="128"/>
    </font>
    <font>
      <b/>
      <sz val="10"/>
      <color theme="1"/>
      <name val="HGP明朝B"/>
      <family val="1"/>
      <charset val="128"/>
    </font>
    <font>
      <b/>
      <sz val="10"/>
      <color rgb="FF00B0F0"/>
      <name val="HGP明朝B"/>
      <family val="1"/>
      <charset val="128"/>
    </font>
    <font>
      <b/>
      <sz val="9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11"/>
      <color rgb="FF00B0F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sz val="11"/>
      <color theme="1"/>
      <name val="Arial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0" borderId="0"/>
    <xf numFmtId="0" fontId="58" fillId="0" borderId="0">
      <alignment vertical="center"/>
    </xf>
  </cellStyleXfs>
  <cellXfs count="243">
    <xf numFmtId="0" fontId="0" fillId="0" borderId="0" xfId="0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right" vertical="center"/>
    </xf>
    <xf numFmtId="2" fontId="19" fillId="0" borderId="0" xfId="1" applyNumberFormat="1" applyFont="1" applyAlignment="1">
      <alignment horizontal="center" vertical="center"/>
    </xf>
    <xf numFmtId="177" fontId="20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176" fontId="21" fillId="0" borderId="2" xfId="1" applyNumberFormat="1" applyFont="1" applyBorder="1" applyAlignment="1">
      <alignment horizontal="center" vertical="center"/>
    </xf>
    <xf numFmtId="0" fontId="22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176" fontId="21" fillId="0" borderId="3" xfId="1" applyNumberFormat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176" fontId="23" fillId="0" borderId="2" xfId="1" applyNumberFormat="1" applyFont="1" applyBorder="1" applyAlignment="1">
      <alignment horizontal="center" vertical="center"/>
    </xf>
    <xf numFmtId="176" fontId="23" fillId="0" borderId="3" xfId="1" applyNumberFormat="1" applyFont="1" applyBorder="1" applyAlignment="1">
      <alignment horizontal="center" vertical="center"/>
    </xf>
    <xf numFmtId="0" fontId="20" fillId="0" borderId="0" xfId="1" applyFont="1" applyAlignment="1">
      <alignment horizontal="right"/>
    </xf>
    <xf numFmtId="2" fontId="21" fillId="0" borderId="2" xfId="1" applyNumberFormat="1" applyFont="1" applyBorder="1" applyAlignment="1">
      <alignment horizontal="center" vertical="center"/>
    </xf>
    <xf numFmtId="0" fontId="20" fillId="0" borderId="0" xfId="1" applyFont="1" applyAlignment="1">
      <alignment horizontal="right" vertical="top"/>
    </xf>
    <xf numFmtId="0" fontId="17" fillId="0" borderId="1" xfId="1" applyFont="1" applyBorder="1" applyAlignment="1">
      <alignment horizontal="center" vertical="center"/>
    </xf>
    <xf numFmtId="176" fontId="21" fillId="0" borderId="0" xfId="1" applyNumberFormat="1" applyFont="1" applyAlignment="1">
      <alignment horizontal="center" vertical="center"/>
    </xf>
    <xf numFmtId="0" fontId="20" fillId="0" borderId="0" xfId="1" applyFont="1" applyAlignment="1">
      <alignment horizontal="center"/>
    </xf>
    <xf numFmtId="2" fontId="21" fillId="0" borderId="0" xfId="1" applyNumberFormat="1" applyFont="1">
      <alignment vertical="center"/>
    </xf>
    <xf numFmtId="0" fontId="20" fillId="0" borderId="0" xfId="1" applyFont="1" applyAlignment="1">
      <alignment horizontal="left" vertical="center"/>
    </xf>
    <xf numFmtId="1" fontId="23" fillId="0" borderId="0" xfId="1" applyNumberFormat="1" applyFont="1">
      <alignment vertical="center"/>
    </xf>
    <xf numFmtId="178" fontId="17" fillId="0" borderId="0" xfId="1" applyNumberFormat="1" applyFont="1" applyAlignment="1">
      <alignment horizontal="center" vertical="center"/>
    </xf>
    <xf numFmtId="176" fontId="23" fillId="0" borderId="0" xfId="1" applyNumberFormat="1" applyFont="1" applyAlignment="1">
      <alignment horizontal="center" vertical="center"/>
    </xf>
    <xf numFmtId="179" fontId="23" fillId="0" borderId="0" xfId="1" applyNumberFormat="1" applyFont="1" applyAlignment="1">
      <alignment horizontal="right" vertical="center"/>
    </xf>
    <xf numFmtId="2" fontId="23" fillId="0" borderId="0" xfId="1" applyNumberFormat="1" applyFont="1" applyAlignment="1">
      <alignment horizontal="left" vertical="center"/>
    </xf>
    <xf numFmtId="177" fontId="24" fillId="0" borderId="0" xfId="1" applyNumberFormat="1" applyFont="1" applyAlignment="1">
      <alignment horizontal="center" vertical="center"/>
    </xf>
    <xf numFmtId="178" fontId="21" fillId="0" borderId="0" xfId="1" applyNumberFormat="1" applyFont="1" applyAlignment="1">
      <alignment horizontal="center" vertical="center"/>
    </xf>
    <xf numFmtId="180" fontId="21" fillId="0" borderId="0" xfId="1" applyNumberFormat="1" applyFont="1" applyAlignment="1">
      <alignment horizontal="center" vertical="center"/>
    </xf>
    <xf numFmtId="179" fontId="21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179" fontId="21" fillId="0" borderId="0" xfId="1" applyNumberFormat="1" applyFont="1" applyAlignment="1">
      <alignment horizontal="right" vertical="center"/>
    </xf>
    <xf numFmtId="2" fontId="23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2" fontId="17" fillId="0" borderId="0" xfId="1" applyNumberFormat="1" applyFont="1" applyAlignment="1">
      <alignment horizontal="left" vertical="center"/>
    </xf>
    <xf numFmtId="2" fontId="25" fillId="0" borderId="0" xfId="1" applyNumberFormat="1" applyFont="1" applyAlignment="1">
      <alignment horizontal="right" vertical="center"/>
    </xf>
    <xf numFmtId="0" fontId="26" fillId="0" borderId="0" xfId="1" applyFont="1">
      <alignment vertical="center"/>
    </xf>
    <xf numFmtId="0" fontId="17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0" fontId="21" fillId="0" borderId="0" xfId="1" applyFont="1">
      <alignment vertical="center"/>
    </xf>
    <xf numFmtId="0" fontId="27" fillId="0" borderId="0" xfId="1" applyFont="1" applyAlignment="1">
      <alignment horizontal="center" vertical="center"/>
    </xf>
    <xf numFmtId="2" fontId="17" fillId="0" borderId="4" xfId="1" applyNumberFormat="1" applyFont="1" applyBorder="1" applyAlignment="1">
      <alignment horizontal="center" vertical="center"/>
    </xf>
    <xf numFmtId="176" fontId="17" fillId="0" borderId="5" xfId="1" applyNumberFormat="1" applyFont="1" applyBorder="1" applyAlignment="1">
      <alignment horizontal="center" vertical="center"/>
    </xf>
    <xf numFmtId="2" fontId="29" fillId="0" borderId="0" xfId="2" applyNumberFormat="1" applyFont="1" applyAlignment="1">
      <alignment horizontal="center" vertical="center"/>
    </xf>
    <xf numFmtId="0" fontId="30" fillId="0" borderId="0" xfId="1" quotePrefix="1" applyFont="1" applyAlignment="1">
      <alignment horizontal="center" vertical="center"/>
    </xf>
    <xf numFmtId="181" fontId="31" fillId="0" borderId="0" xfId="2" quotePrefix="1" applyNumberFormat="1" applyFont="1" applyAlignment="1">
      <alignment horizontal="center" vertical="center"/>
    </xf>
    <xf numFmtId="0" fontId="27" fillId="0" borderId="0" xfId="1" applyFont="1">
      <alignment vertical="center"/>
    </xf>
    <xf numFmtId="177" fontId="20" fillId="0" borderId="0" xfId="1" applyNumberFormat="1" applyFont="1" applyAlignment="1">
      <alignment horizontal="center"/>
    </xf>
    <xf numFmtId="2" fontId="17" fillId="0" borderId="0" xfId="1" applyNumberFormat="1" applyFont="1">
      <alignment vertical="center"/>
    </xf>
    <xf numFmtId="182" fontId="23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32" fillId="0" borderId="0" xfId="1" applyFont="1" applyAlignment="1">
      <alignment horizontal="center" vertical="center"/>
    </xf>
    <xf numFmtId="178" fontId="23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top"/>
    </xf>
    <xf numFmtId="1" fontId="23" fillId="0" borderId="0" xfId="1" applyNumberFormat="1" applyFont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2" fontId="19" fillId="0" borderId="0" xfId="1" applyNumberFormat="1" applyFont="1" applyAlignment="1">
      <alignment horizontal="left" vertical="center"/>
    </xf>
    <xf numFmtId="179" fontId="17" fillId="0" borderId="0" xfId="1" applyNumberFormat="1" applyFont="1">
      <alignment vertical="center"/>
    </xf>
    <xf numFmtId="2" fontId="21" fillId="0" borderId="1" xfId="1" applyNumberFormat="1" applyFont="1" applyBorder="1" applyAlignment="1">
      <alignment horizontal="center" vertical="center"/>
    </xf>
    <xf numFmtId="0" fontId="34" fillId="0" borderId="0" xfId="1" applyFont="1" applyAlignment="1">
      <alignment horizontal="center" vertical="center"/>
    </xf>
    <xf numFmtId="180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1" fontId="17" fillId="0" borderId="5" xfId="1" applyNumberFormat="1" applyFont="1" applyBorder="1" applyAlignment="1">
      <alignment horizontal="center" vertical="center"/>
    </xf>
    <xf numFmtId="176" fontId="17" fillId="0" borderId="6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top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29" fillId="0" borderId="0" xfId="1" applyFont="1">
      <alignment vertical="center"/>
    </xf>
    <xf numFmtId="0" fontId="9" fillId="0" borderId="0" xfId="1" applyFont="1">
      <alignment vertical="center"/>
    </xf>
    <xf numFmtId="0" fontId="14" fillId="0" borderId="0" xfId="1">
      <alignment vertical="center"/>
    </xf>
    <xf numFmtId="0" fontId="38" fillId="0" borderId="0" xfId="1" applyFont="1">
      <alignment vertical="center"/>
    </xf>
    <xf numFmtId="0" fontId="37" fillId="0" borderId="0" xfId="1" applyFont="1" applyAlignment="1">
      <alignment horizontal="left" vertical="center"/>
    </xf>
    <xf numFmtId="0" fontId="37" fillId="0" borderId="0" xfId="1" applyFont="1" applyAlignment="1">
      <alignment horizontal="right" vertical="center"/>
    </xf>
    <xf numFmtId="0" fontId="37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0" xfId="1" applyFont="1">
      <alignment vertical="center"/>
    </xf>
    <xf numFmtId="0" fontId="40" fillId="0" borderId="0" xfId="1" applyFont="1" applyAlignment="1">
      <alignment horizontal="center" vertical="center"/>
    </xf>
    <xf numFmtId="183" fontId="42" fillId="0" borderId="0" xfId="3" applyNumberFormat="1" applyFont="1" applyAlignment="1">
      <alignment horizontal="center"/>
    </xf>
    <xf numFmtId="183" fontId="42" fillId="0" borderId="0" xfId="3" applyNumberFormat="1" applyFont="1"/>
    <xf numFmtId="0" fontId="44" fillId="0" borderId="0" xfId="3" applyFont="1" applyAlignment="1">
      <alignment horizontal="center"/>
    </xf>
    <xf numFmtId="179" fontId="25" fillId="0" borderId="7" xfId="1" applyNumberFormat="1" applyFont="1" applyBorder="1" applyAlignment="1">
      <alignment horizontal="center" vertical="center" shrinkToFit="1"/>
    </xf>
    <xf numFmtId="0" fontId="45" fillId="0" borderId="0" xfId="3" applyFont="1" applyAlignment="1">
      <alignment horizontal="left" vertical="center"/>
    </xf>
    <xf numFmtId="183" fontId="39" fillId="0" borderId="0" xfId="3" applyNumberFormat="1" applyFont="1" applyAlignment="1">
      <alignment vertical="center"/>
    </xf>
    <xf numFmtId="183" fontId="45" fillId="0" borderId="0" xfId="3" applyNumberFormat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5" fillId="0" borderId="0" xfId="3" applyFont="1" applyAlignment="1">
      <alignment horizontal="center" vertical="center"/>
    </xf>
    <xf numFmtId="179" fontId="45" fillId="0" borderId="0" xfId="3" applyNumberFormat="1" applyFont="1" applyAlignment="1">
      <alignment vertical="center" shrinkToFit="1"/>
    </xf>
    <xf numFmtId="0" fontId="25" fillId="0" borderId="0" xfId="1" applyFont="1" applyAlignment="1">
      <alignment horizontal="center" vertical="center"/>
    </xf>
    <xf numFmtId="179" fontId="46" fillId="0" borderId="0" xfId="3" applyNumberFormat="1" applyFont="1" applyAlignment="1">
      <alignment horizontal="center" vertical="center"/>
    </xf>
    <xf numFmtId="179" fontId="45" fillId="0" borderId="7" xfId="3" applyNumberFormat="1" applyFont="1" applyBorder="1" applyAlignment="1">
      <alignment vertical="center" shrinkToFit="1"/>
    </xf>
    <xf numFmtId="179" fontId="25" fillId="0" borderId="0" xfId="1" applyNumberFormat="1" applyFont="1" applyAlignment="1">
      <alignment horizontal="center" vertical="center" shrinkToFit="1"/>
    </xf>
    <xf numFmtId="0" fontId="25" fillId="0" borderId="0" xfId="1" quotePrefix="1" applyFont="1" applyAlignment="1">
      <alignment horizontal="center" vertical="center"/>
    </xf>
    <xf numFmtId="177" fontId="25" fillId="0" borderId="7" xfId="1" applyNumberFormat="1" applyFont="1" applyBorder="1" applyAlignment="1">
      <alignment horizontal="center" vertical="center"/>
    </xf>
    <xf numFmtId="177" fontId="45" fillId="0" borderId="0" xfId="3" applyNumberFormat="1" applyFont="1" applyAlignment="1">
      <alignment vertical="center"/>
    </xf>
    <xf numFmtId="179" fontId="45" fillId="0" borderId="0" xfId="3" applyNumberFormat="1" applyFont="1" applyAlignment="1">
      <alignment vertical="center"/>
    </xf>
    <xf numFmtId="179" fontId="25" fillId="0" borderId="0" xfId="1" applyNumberFormat="1" applyFont="1" applyAlignment="1">
      <alignment horizontal="center" vertical="center"/>
    </xf>
    <xf numFmtId="179" fontId="45" fillId="0" borderId="0" xfId="3" applyNumberFormat="1" applyFont="1" applyAlignment="1">
      <alignment horizontal="center" vertical="center"/>
    </xf>
    <xf numFmtId="183" fontId="25" fillId="0" borderId="7" xfId="1" applyNumberFormat="1" applyFont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179" fontId="37" fillId="0" borderId="7" xfId="1" applyNumberFormat="1" applyFont="1" applyBorder="1" applyAlignment="1">
      <alignment horizontal="center" vertical="center"/>
    </xf>
    <xf numFmtId="0" fontId="47" fillId="0" borderId="0" xfId="1" applyFont="1">
      <alignment vertical="center"/>
    </xf>
    <xf numFmtId="0" fontId="37" fillId="0" borderId="7" xfId="1" applyFont="1" applyBorder="1">
      <alignment vertical="center"/>
    </xf>
    <xf numFmtId="0" fontId="39" fillId="0" borderId="0" xfId="1" applyFont="1">
      <alignment vertical="center"/>
    </xf>
    <xf numFmtId="183" fontId="25" fillId="0" borderId="0" xfId="3" applyNumberFormat="1" applyFont="1" applyAlignment="1">
      <alignment vertical="center"/>
    </xf>
    <xf numFmtId="184" fontId="46" fillId="0" borderId="0" xfId="1" applyNumberFormat="1" applyFont="1" applyAlignment="1">
      <alignment horizontal="center" vertical="center"/>
    </xf>
    <xf numFmtId="184" fontId="46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50" fillId="0" borderId="0" xfId="1" applyFont="1">
      <alignment vertical="center"/>
    </xf>
    <xf numFmtId="0" fontId="51" fillId="0" borderId="0" xfId="1" applyFont="1" applyAlignment="1">
      <alignment horizontal="center" vertical="center"/>
    </xf>
    <xf numFmtId="0" fontId="51" fillId="0" borderId="0" xfId="1" applyFont="1">
      <alignment vertical="center"/>
    </xf>
    <xf numFmtId="0" fontId="52" fillId="0" borderId="0" xfId="1" applyFont="1" applyAlignment="1">
      <alignment horizontal="center" vertical="center"/>
    </xf>
    <xf numFmtId="0" fontId="53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184" fontId="54" fillId="0" borderId="0" xfId="1" applyNumberFormat="1" applyFont="1" applyAlignment="1">
      <alignment horizontal="center" vertical="center"/>
    </xf>
    <xf numFmtId="184" fontId="9" fillId="0" borderId="0" xfId="1" applyNumberFormat="1" applyFont="1" applyAlignment="1">
      <alignment horizontal="center" vertical="center"/>
    </xf>
    <xf numFmtId="185" fontId="55" fillId="0" borderId="0" xfId="1" applyNumberFormat="1" applyFont="1" applyAlignment="1">
      <alignment horizontal="left" vertical="center"/>
    </xf>
    <xf numFmtId="187" fontId="56" fillId="0" borderId="0" xfId="1" applyNumberFormat="1" applyFont="1">
      <alignment vertical="center"/>
    </xf>
    <xf numFmtId="188" fontId="56" fillId="0" borderId="0" xfId="1" applyNumberFormat="1" applyFont="1">
      <alignment vertical="center"/>
    </xf>
    <xf numFmtId="189" fontId="55" fillId="0" borderId="0" xfId="1" applyNumberFormat="1" applyFont="1">
      <alignment vertical="center"/>
    </xf>
    <xf numFmtId="0" fontId="45" fillId="0" borderId="0" xfId="3" applyFont="1" applyAlignment="1">
      <alignment horizontal="center"/>
    </xf>
    <xf numFmtId="179" fontId="25" fillId="0" borderId="0" xfId="1" quotePrefix="1" applyNumberFormat="1" applyFont="1" applyAlignment="1">
      <alignment horizontal="center" vertical="center" shrinkToFit="1"/>
    </xf>
    <xf numFmtId="179" fontId="39" fillId="0" borderId="0" xfId="3" applyNumberFormat="1" applyFont="1" applyAlignment="1">
      <alignment vertical="center"/>
    </xf>
    <xf numFmtId="177" fontId="45" fillId="0" borderId="7" xfId="3" applyNumberFormat="1" applyFont="1" applyBorder="1" applyAlignment="1">
      <alignment vertical="center"/>
    </xf>
    <xf numFmtId="0" fontId="39" fillId="0" borderId="7" xfId="1" applyFont="1" applyBorder="1">
      <alignment vertical="center"/>
    </xf>
    <xf numFmtId="190" fontId="37" fillId="0" borderId="0" xfId="1" applyNumberFormat="1" applyFont="1" applyAlignment="1">
      <alignment horizontal="center" vertical="center"/>
    </xf>
    <xf numFmtId="177" fontId="37" fillId="0" borderId="0" xfId="1" applyNumberFormat="1" applyFont="1" applyAlignment="1">
      <alignment horizontal="right" vertical="center"/>
    </xf>
    <xf numFmtId="0" fontId="53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50" fillId="0" borderId="0" xfId="1" applyFont="1">
      <alignment vertical="center"/>
    </xf>
    <xf numFmtId="0" fontId="51" fillId="0" borderId="0" xfId="1" applyFont="1" applyAlignment="1">
      <alignment horizontal="center" vertical="center"/>
    </xf>
    <xf numFmtId="179" fontId="51" fillId="0" borderId="0" xfId="1" applyNumberFormat="1" applyFont="1">
      <alignment vertical="center"/>
    </xf>
    <xf numFmtId="179" fontId="54" fillId="0" borderId="0" xfId="1" applyNumberFormat="1" applyFont="1" applyAlignment="1">
      <alignment horizontal="center" vertical="center"/>
    </xf>
    <xf numFmtId="186" fontId="56" fillId="0" borderId="8" xfId="1" applyNumberFormat="1" applyFont="1" applyBorder="1" applyAlignment="1">
      <alignment horizontal="center" vertical="center"/>
    </xf>
    <xf numFmtId="186" fontId="56" fillId="0" borderId="9" xfId="1" applyNumberFormat="1" applyFont="1" applyBorder="1" applyAlignment="1">
      <alignment horizontal="center" vertical="center"/>
    </xf>
    <xf numFmtId="186" fontId="56" fillId="0" borderId="10" xfId="1" applyNumberFormat="1" applyFont="1" applyBorder="1" applyAlignment="1">
      <alignment horizontal="center" vertical="center"/>
    </xf>
    <xf numFmtId="186" fontId="56" fillId="0" borderId="11" xfId="1" applyNumberFormat="1" applyFont="1" applyBorder="1" applyAlignment="1">
      <alignment horizontal="center" vertical="center"/>
    </xf>
    <xf numFmtId="186" fontId="56" fillId="0" borderId="12" xfId="1" applyNumberFormat="1" applyFont="1" applyBorder="1" applyAlignment="1">
      <alignment horizontal="center" vertical="center"/>
    </xf>
    <xf numFmtId="186" fontId="56" fillId="0" borderId="13" xfId="1" applyNumberFormat="1" applyFont="1" applyBorder="1" applyAlignment="1">
      <alignment horizontal="center" vertical="center"/>
    </xf>
    <xf numFmtId="179" fontId="37" fillId="0" borderId="14" xfId="1" applyNumberFormat="1" applyFont="1" applyBorder="1" applyAlignment="1">
      <alignment horizontal="center" vertical="center"/>
    </xf>
    <xf numFmtId="179" fontId="37" fillId="0" borderId="15" xfId="1" applyNumberFormat="1" applyFont="1" applyBorder="1" applyAlignment="1">
      <alignment horizontal="center" vertical="center"/>
    </xf>
    <xf numFmtId="0" fontId="39" fillId="0" borderId="14" xfId="1" applyFont="1" applyBorder="1" applyAlignment="1">
      <alignment horizontal="center" vertical="center"/>
    </xf>
    <xf numFmtId="0" fontId="39" fillId="0" borderId="15" xfId="1" applyFont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7" fillId="0" borderId="18" xfId="1" applyFont="1" applyBorder="1" applyAlignment="1">
      <alignment horizontal="center" vertical="center"/>
    </xf>
    <xf numFmtId="0" fontId="37" fillId="0" borderId="6" xfId="1" applyFont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39" fillId="0" borderId="6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39" fillId="0" borderId="17" xfId="1" applyFont="1" applyBorder="1" applyAlignment="1">
      <alignment horizontal="center" vertical="center"/>
    </xf>
    <xf numFmtId="0" fontId="39" fillId="0" borderId="19" xfId="1" applyFont="1" applyBorder="1" applyAlignment="1">
      <alignment horizontal="center" vertical="center"/>
    </xf>
    <xf numFmtId="2" fontId="17" fillId="0" borderId="0" xfId="1" applyNumberFormat="1" applyFont="1" applyAlignment="1">
      <alignment horizontal="center" vertical="center"/>
    </xf>
    <xf numFmtId="176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77" fontId="23" fillId="0" borderId="0" xfId="1" applyNumberFormat="1" applyFont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176" fontId="17" fillId="0" borderId="5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2" fontId="17" fillId="0" borderId="4" xfId="1" applyNumberFormat="1" applyFont="1" applyBorder="1" applyAlignment="1">
      <alignment horizontal="center" vertical="center"/>
    </xf>
    <xf numFmtId="2" fontId="19" fillId="0" borderId="0" xfId="1" applyNumberFormat="1" applyFont="1" applyAlignment="1">
      <alignment horizontal="center" vertical="center"/>
    </xf>
    <xf numFmtId="180" fontId="17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178" fontId="17" fillId="0" borderId="5" xfId="1" applyNumberFormat="1" applyFont="1" applyBorder="1" applyAlignment="1">
      <alignment horizontal="center" vertical="center"/>
    </xf>
    <xf numFmtId="178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2" fontId="17" fillId="0" borderId="6" xfId="1" applyNumberFormat="1" applyFont="1" applyBorder="1" applyAlignment="1">
      <alignment horizontal="center" vertical="center"/>
    </xf>
    <xf numFmtId="176" fontId="26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right" vertical="center"/>
    </xf>
    <xf numFmtId="2" fontId="17" fillId="0" borderId="0" xfId="1" applyNumberFormat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58" fillId="0" borderId="0" xfId="4">
      <alignment vertical="center"/>
    </xf>
    <xf numFmtId="0" fontId="11" fillId="0" borderId="0" xfId="4" applyFont="1" applyAlignment="1">
      <alignment horizontal="left" vertical="center"/>
    </xf>
    <xf numFmtId="0" fontId="12" fillId="0" borderId="0" xfId="4" applyFont="1">
      <alignment vertical="center"/>
    </xf>
    <xf numFmtId="0" fontId="13" fillId="0" borderId="0" xfId="4" applyFont="1" applyAlignment="1">
      <alignment horizontal="left" vertical="center"/>
    </xf>
    <xf numFmtId="0" fontId="58" fillId="0" borderId="0" xfId="4" applyAlignment="1">
      <alignment horizontal="right" vertical="center"/>
    </xf>
    <xf numFmtId="0" fontId="6" fillId="0" borderId="0" xfId="4" applyFont="1">
      <alignment vertical="center"/>
    </xf>
    <xf numFmtId="0" fontId="58" fillId="0" borderId="0" xfId="4" applyAlignment="1">
      <alignment horizontal="left" vertical="center"/>
    </xf>
    <xf numFmtId="2" fontId="1" fillId="0" borderId="0" xfId="4" applyNumberFormat="1" applyFont="1">
      <alignment vertical="center"/>
    </xf>
    <xf numFmtId="0" fontId="3" fillId="0" borderId="0" xfId="4" applyFont="1">
      <alignment vertical="center"/>
    </xf>
    <xf numFmtId="0" fontId="5" fillId="0" borderId="0" xfId="4" applyFont="1" applyAlignment="1">
      <alignment horizontal="right" vertical="center"/>
    </xf>
    <xf numFmtId="1" fontId="6" fillId="0" borderId="0" xfId="4" applyNumberFormat="1" applyFont="1">
      <alignment vertical="center"/>
    </xf>
    <xf numFmtId="0" fontId="1" fillId="0" borderId="0" xfId="4" applyFont="1">
      <alignment vertical="center"/>
    </xf>
    <xf numFmtId="0" fontId="58" fillId="0" borderId="0" xfId="4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2" fontId="6" fillId="0" borderId="0" xfId="4" applyNumberFormat="1" applyFont="1" applyAlignment="1">
      <alignment horizontal="center" vertical="center"/>
    </xf>
    <xf numFmtId="0" fontId="58" fillId="0" borderId="0" xfId="4" applyAlignment="1">
      <alignment horizontal="center" vertical="center"/>
    </xf>
    <xf numFmtId="176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58" fillId="0" borderId="20" xfId="4" applyBorder="1" applyAlignment="1">
      <alignment horizontal="center" vertical="center"/>
    </xf>
    <xf numFmtId="0" fontId="58" fillId="0" borderId="6" xfId="4" applyBorder="1" applyAlignment="1">
      <alignment horizontal="center" vertical="center"/>
    </xf>
    <xf numFmtId="0" fontId="58" fillId="0" borderId="21" xfId="4" applyBorder="1" applyAlignment="1">
      <alignment horizontal="center" vertical="center"/>
    </xf>
    <xf numFmtId="2" fontId="6" fillId="0" borderId="6" xfId="4" applyNumberFormat="1" applyFont="1" applyBorder="1">
      <alignment vertical="center"/>
    </xf>
    <xf numFmtId="0" fontId="9" fillId="0" borderId="6" xfId="4" applyFont="1" applyBorder="1" applyAlignment="1">
      <alignment horizontal="center" vertical="center"/>
    </xf>
    <xf numFmtId="0" fontId="58" fillId="0" borderId="6" xfId="4" applyBorder="1">
      <alignment vertical="center"/>
    </xf>
    <xf numFmtId="0" fontId="58" fillId="0" borderId="17" xfId="4" applyBorder="1">
      <alignment vertical="center"/>
    </xf>
    <xf numFmtId="0" fontId="58" fillId="0" borderId="22" xfId="4" applyBorder="1">
      <alignment vertical="center"/>
    </xf>
    <xf numFmtId="0" fontId="58" fillId="0" borderId="22" xfId="4" applyBorder="1" applyAlignment="1">
      <alignment horizontal="center" vertical="center"/>
    </xf>
    <xf numFmtId="2" fontId="3" fillId="0" borderId="0" xfId="4" applyNumberFormat="1" applyFont="1">
      <alignment vertical="center"/>
    </xf>
    <xf numFmtId="0" fontId="9" fillId="0" borderId="0" xfId="4" applyFont="1" applyAlignment="1">
      <alignment horizontal="center" vertical="center"/>
    </xf>
    <xf numFmtId="0" fontId="58" fillId="0" borderId="23" xfId="4" applyBorder="1">
      <alignment vertical="center"/>
    </xf>
    <xf numFmtId="0" fontId="58" fillId="0" borderId="18" xfId="4" applyBorder="1">
      <alignment vertical="center"/>
    </xf>
    <xf numFmtId="0" fontId="58" fillId="0" borderId="1" xfId="4" applyBorder="1">
      <alignment vertical="center"/>
    </xf>
    <xf numFmtId="0" fontId="58" fillId="0" borderId="19" xfId="4" applyBorder="1">
      <alignment vertical="center"/>
    </xf>
    <xf numFmtId="0" fontId="3" fillId="0" borderId="0" xfId="4" applyFont="1" applyAlignment="1">
      <alignment horizontal="center" vertical="center"/>
    </xf>
    <xf numFmtId="0" fontId="59" fillId="0" borderId="0" xfId="4" applyFont="1">
      <alignment vertical="center"/>
    </xf>
    <xf numFmtId="0" fontId="58" fillId="0" borderId="1" xfId="4" applyBorder="1" applyAlignment="1">
      <alignment horizontal="center" vertical="center"/>
    </xf>
    <xf numFmtId="0" fontId="3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2" fontId="58" fillId="0" borderId="0" xfId="4" applyNumberFormat="1" applyAlignment="1">
      <alignment horizontal="center" vertical="center"/>
    </xf>
    <xf numFmtId="2" fontId="58" fillId="0" borderId="0" xfId="4" applyNumberFormat="1" applyAlignment="1">
      <alignment horizontal="center" vertical="center"/>
    </xf>
    <xf numFmtId="0" fontId="5" fillId="0" borderId="0" xfId="4" applyFont="1">
      <alignment vertical="center"/>
    </xf>
    <xf numFmtId="2" fontId="58" fillId="0" borderId="0" xfId="4" applyNumberFormat="1">
      <alignment vertical="center"/>
    </xf>
    <xf numFmtId="2" fontId="6" fillId="0" borderId="1" xfId="4" applyNumberFormat="1" applyFont="1" applyBorder="1" applyAlignment="1">
      <alignment horizontal="center" vertical="center"/>
    </xf>
    <xf numFmtId="1" fontId="58" fillId="0" borderId="0" xfId="4" applyNumberForma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58" fillId="0" borderId="0" xfId="4" applyAlignment="1">
      <alignment horizontal="left" vertical="center"/>
    </xf>
    <xf numFmtId="0" fontId="1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4" fillId="0" borderId="0" xfId="1">
      <alignment vertical="center"/>
    </xf>
  </cellXfs>
  <cellStyles count="5">
    <cellStyle name="ハイパーリンク" xfId="2" builtinId="8"/>
    <cellStyle name="標準" xfId="0" builtinId="0"/>
    <cellStyle name="標準 2" xfId="1" xr:uid="{A73A0F27-CD71-4595-8CA1-383E191D0059}"/>
    <cellStyle name="標準 2 2" xfId="3" xr:uid="{2D5494DF-53B1-46B3-9279-D498DA41A6E1}"/>
    <cellStyle name="標準 3" xfId="4" xr:uid="{CC300698-8B98-42BA-863E-A10D7DD3AA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6072</xdr:colOff>
      <xdr:row>59</xdr:row>
      <xdr:rowOff>6131</xdr:rowOff>
    </xdr:from>
    <xdr:to>
      <xdr:col>9</xdr:col>
      <xdr:colOff>993</xdr:colOff>
      <xdr:row>76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722709-FA23-494B-B554-99424A22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3322" y="9559706"/>
          <a:ext cx="280671" cy="2870419"/>
        </a:xfrm>
        <a:prstGeom prst="rect">
          <a:avLst/>
        </a:prstGeom>
      </xdr:spPr>
    </xdr:pic>
    <xdr:clientData/>
  </xdr:twoCellAnchor>
  <xdr:twoCellAnchor editAs="oneCell">
    <xdr:from>
      <xdr:col>23</xdr:col>
      <xdr:colOff>26670</xdr:colOff>
      <xdr:row>9</xdr:row>
      <xdr:rowOff>56515</xdr:rowOff>
    </xdr:from>
    <xdr:to>
      <xdr:col>27</xdr:col>
      <xdr:colOff>160084</xdr:colOff>
      <xdr:row>30</xdr:row>
      <xdr:rowOff>94614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A00125-1A9E-4460-9BF2-17CC10115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8945" y="1513840"/>
          <a:ext cx="2286064" cy="3438524"/>
        </a:xfrm>
        <a:prstGeom prst="rect">
          <a:avLst/>
        </a:prstGeom>
      </xdr:spPr>
    </xdr:pic>
    <xdr:clientData/>
  </xdr:twoCellAnchor>
  <xdr:twoCellAnchor editAs="oneCell">
    <xdr:from>
      <xdr:col>29</xdr:col>
      <xdr:colOff>22250</xdr:colOff>
      <xdr:row>12</xdr:row>
      <xdr:rowOff>72576</xdr:rowOff>
    </xdr:from>
    <xdr:to>
      <xdr:col>32</xdr:col>
      <xdr:colOff>505408</xdr:colOff>
      <xdr:row>33</xdr:row>
      <xdr:rowOff>158459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DD7B98F-782C-45A7-9D2B-54F371CD5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775" y="2015676"/>
          <a:ext cx="2540558" cy="3486308"/>
        </a:xfrm>
        <a:prstGeom prst="rect">
          <a:avLst/>
        </a:prstGeom>
      </xdr:spPr>
    </xdr:pic>
    <xdr:clientData/>
  </xdr:twoCellAnchor>
  <xdr:twoCellAnchor editAs="oneCell">
    <xdr:from>
      <xdr:col>32</xdr:col>
      <xdr:colOff>304412</xdr:colOff>
      <xdr:row>99</xdr:row>
      <xdr:rowOff>131420</xdr:rowOff>
    </xdr:from>
    <xdr:to>
      <xdr:col>38</xdr:col>
      <xdr:colOff>274587</xdr:colOff>
      <xdr:row>124</xdr:row>
      <xdr:rowOff>119460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7F8BBFC-3A76-4ABC-BD8C-EE35946DA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68337" y="16161995"/>
          <a:ext cx="4084975" cy="4369540"/>
        </a:xfrm>
        <a:prstGeom prst="rect">
          <a:avLst/>
        </a:prstGeom>
      </xdr:spPr>
    </xdr:pic>
    <xdr:clientData/>
  </xdr:twoCellAnchor>
  <xdr:twoCellAnchor editAs="oneCell">
    <xdr:from>
      <xdr:col>1</xdr:col>
      <xdr:colOff>642431</xdr:colOff>
      <xdr:row>220</xdr:row>
      <xdr:rowOff>19612</xdr:rowOff>
    </xdr:from>
    <xdr:to>
      <xdr:col>13</xdr:col>
      <xdr:colOff>487696</xdr:colOff>
      <xdr:row>259</xdr:row>
      <xdr:rowOff>29753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C72F53-1140-484E-B70C-1E1AECD10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231" y="36967087"/>
          <a:ext cx="5712665" cy="6696691"/>
        </a:xfrm>
        <a:prstGeom prst="rect">
          <a:avLst/>
        </a:prstGeom>
      </xdr:spPr>
    </xdr:pic>
    <xdr:clientData/>
  </xdr:twoCellAnchor>
  <xdr:twoCellAnchor editAs="oneCell">
    <xdr:from>
      <xdr:col>26</xdr:col>
      <xdr:colOff>569768</xdr:colOff>
      <xdr:row>6</xdr:row>
      <xdr:rowOff>142009</xdr:rowOff>
    </xdr:from>
    <xdr:to>
      <xdr:col>29</xdr:col>
      <xdr:colOff>495373</xdr:colOff>
      <xdr:row>36</xdr:row>
      <xdr:rowOff>78710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91C2B82-0706-4AE4-A188-5CB4FA74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618893" y="1113559"/>
          <a:ext cx="1983005" cy="479445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</xdr:row>
      <xdr:rowOff>123826</xdr:rowOff>
    </xdr:from>
    <xdr:to>
      <xdr:col>5</xdr:col>
      <xdr:colOff>28575</xdr:colOff>
      <xdr:row>33</xdr:row>
      <xdr:rowOff>86163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64587EA-A8BD-424B-B413-C3C89521A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00025" y="771526"/>
          <a:ext cx="3181350" cy="46581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12</xdr:row>
      <xdr:rowOff>118805</xdr:rowOff>
    </xdr:from>
    <xdr:to>
      <xdr:col>11</xdr:col>
      <xdr:colOff>133350</xdr:colOff>
      <xdr:row>30</xdr:row>
      <xdr:rowOff>5945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563E18-ADF2-41CD-B39E-17D494C39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2290505"/>
          <a:ext cx="3581400" cy="3144690"/>
        </a:xfrm>
        <a:prstGeom prst="rect">
          <a:avLst/>
        </a:prstGeom>
      </xdr:spPr>
    </xdr:pic>
    <xdr:clientData/>
  </xdr:twoCellAnchor>
  <xdr:oneCellAnchor>
    <xdr:from>
      <xdr:col>11</xdr:col>
      <xdr:colOff>238125</xdr:colOff>
      <xdr:row>12</xdr:row>
      <xdr:rowOff>142874</xdr:rowOff>
    </xdr:from>
    <xdr:ext cx="2600325" cy="178330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AF67699-1EB4-4958-A252-D5749470E5A8}"/>
                </a:ext>
              </a:extLst>
            </xdr:cNvPr>
            <xdr:cNvSpPr txBox="1"/>
          </xdr:nvSpPr>
          <xdr:spPr>
            <a:xfrm>
              <a:off x="4029075" y="2314574"/>
              <a:ext cx="2600325" cy="1783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14:m>
                <m:oMath xmlns:m="http://schemas.openxmlformats.org/officeDocument/2006/math">
                  <m:r>
                    <m:rPr>
                      <m:sty m:val="p"/>
                    </m:rPr>
                    <a:rPr kumimoji="1" lang="en-US" altLang="ja-JP" sz="1600" i="0">
                      <a:latin typeface="Cambria Math" panose="02040503050406030204" pitchFamily="18" charset="0"/>
                    </a:rPr>
                    <m:t>N</m:t>
                  </m:r>
                  <m:r>
                    <a:rPr kumimoji="1" lang="en-US" altLang="ja-JP" sz="1600" i="0">
                      <a:latin typeface="Cambria Math" panose="02040503050406030204" pitchFamily="18" charset="0"/>
                    </a:rPr>
                    <m:t>’</m:t>
                  </m:r>
                  <m:r>
                    <m:rPr>
                      <m:sty m:val="p"/>
                    </m:rPr>
                    <a:rPr kumimoji="1" lang="en-US" altLang="ja-JP" sz="1600" i="0">
                      <a:latin typeface="Cambria Math" panose="02040503050406030204" pitchFamily="18" charset="0"/>
                    </a:rPr>
                    <m:t>A</m:t>
                  </m:r>
                  <m:r>
                    <a:rPr kumimoji="1" lang="ja-JP" altLang="en-US" sz="1600" i="0">
                      <a:latin typeface="Cambria Math" panose="02040503050406030204" pitchFamily="18" charset="0"/>
                    </a:rPr>
                    <m:t>・</m:t>
                  </m:r>
                </m:oMath>
              </a14:m>
              <a:r>
                <a:rPr kumimoji="1" lang="en-US" altLang="ja-JP" sz="1600" i="0"/>
                <a:t>Lb=ΣN'</a:t>
              </a:r>
              <a:r>
                <a:rPr kumimoji="1" lang="ja-JP" altLang="en-US" sz="1600" i="0"/>
                <a:t>・</a:t>
              </a:r>
              <a:r>
                <a:rPr kumimoji="1" lang="en-US" altLang="ja-JP" sz="1600" i="0"/>
                <a:t>X</a:t>
              </a:r>
              <a:r>
                <a:rPr kumimoji="1" lang="ja-JP" altLang="en-US" sz="1600" i="0"/>
                <a:t>　①</a:t>
              </a:r>
              <a:endParaRPr kumimoji="1" lang="en-US" altLang="ja-JP" sz="1600" i="0"/>
            </a:p>
            <a:p>
              <a:pPr algn="ctr"/>
              <a14:m>
                <m:oMath xmlns:m="http://schemas.openxmlformats.org/officeDocument/2006/math">
                  <m:r>
                    <m:rPr>
                      <m:sty m:val="p"/>
                    </m:rPr>
                    <a:rPr kumimoji="1" lang="en-US" altLang="ja-JP" sz="1600" b="0" i="0">
                      <a:latin typeface="Cambria Math" panose="02040503050406030204" pitchFamily="18" charset="0"/>
                    </a:rPr>
                    <m:t>X</m:t>
                  </m:r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kumimoji="1" lang="en-US" altLang="ja-JP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kumimoji="1" lang="en-US" altLang="ja-JP" sz="1600" b="0" i="0">
                          <a:latin typeface="Cambria Math" panose="02040503050406030204" pitchFamily="18" charset="0"/>
                        </a:rPr>
                        <m:t>L</m:t>
                      </m:r>
                    </m:num>
                    <m:den>
                      <m:r>
                        <a:rPr kumimoji="1" lang="en-US" altLang="ja-JP" sz="1600" b="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−</m:t>
                  </m:r>
                  <m:r>
                    <m:rPr>
                      <m:sty m:val="p"/>
                    </m:rPr>
                    <a:rPr kumimoji="1" lang="en-US" altLang="ja-JP" sz="1600" b="0" i="0">
                      <a:latin typeface="Cambria Math" panose="02040503050406030204" pitchFamily="18" charset="0"/>
                    </a:rPr>
                    <m:t>Lc</m:t>
                  </m:r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+</m:t>
                  </m:r>
                  <m:r>
                    <m:rPr>
                      <m:sty m:val="p"/>
                    </m:rPr>
                    <a:rPr kumimoji="1" lang="en-US" altLang="ja-JP" sz="1600" b="0" i="0">
                      <a:latin typeface="Cambria Math" panose="02040503050406030204" pitchFamily="18" charset="0"/>
                    </a:rPr>
                    <m:t>e</m:t>
                  </m:r>
                </m:oMath>
              </a14:m>
              <a:r>
                <a:rPr kumimoji="1" lang="en-US" altLang="ja-JP" sz="1600" i="0"/>
                <a:t> </a:t>
              </a:r>
              <a:r>
                <a:rPr kumimoji="1" lang="ja-JP" altLang="en-US" sz="1600" i="0"/>
                <a:t>　②</a:t>
              </a:r>
              <a:endParaRPr kumimoji="1" lang="en-US" altLang="ja-JP" sz="1600" i="0"/>
            </a:p>
            <a:p>
              <a:pPr algn="ctr"/>
              <a:r>
                <a:rPr kumimoji="1" lang="ja-JP" altLang="en-US" sz="1200" i="0"/>
                <a:t>①を②へ代入</a:t>
              </a:r>
              <a:endParaRPr kumimoji="1" lang="en-US" altLang="ja-JP" sz="1200" i="0"/>
            </a:p>
            <a:p>
              <a:pPr algn="ctr"/>
              <a:r>
                <a:rPr kumimoji="1" lang="ja-JP" altLang="en-US" sz="1600" i="0"/>
                <a:t>𝑁’𝐴・</a:t>
              </a:r>
              <a:r>
                <a:rPr kumimoji="1" lang="en-US" altLang="ja-JP" sz="1600" i="0"/>
                <a:t>Lb</a:t>
              </a:r>
              <a:r>
                <a:rPr kumimoji="1" lang="ja-JP" altLang="en-US" sz="1600" i="0"/>
                <a:t>＝</a:t>
              </a:r>
              <a:r>
                <a:rPr kumimoji="1" lang="en-US" altLang="ja-JP" sz="1600" i="0"/>
                <a:t>ΣN'</a:t>
              </a:r>
              <a14:m>
                <m:oMath xmlns:m="http://schemas.openxmlformats.org/officeDocument/2006/math"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(</m:t>
                  </m:r>
                  <m:f>
                    <m:fPr>
                      <m:ctrlPr>
                        <a:rPr kumimoji="1" lang="en-US" altLang="ja-JP" sz="16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kumimoji="1" lang="en-US" altLang="ja-JP" sz="1600" b="0" i="0">
                          <a:latin typeface="Cambria Math" panose="02040503050406030204" pitchFamily="18" charset="0"/>
                        </a:rPr>
                        <m:t>L</m:t>
                      </m:r>
                    </m:num>
                    <m:den>
                      <m:r>
                        <a:rPr kumimoji="1" lang="en-US" altLang="ja-JP" sz="1600" b="0" i="0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−</m:t>
                  </m:r>
                  <m:r>
                    <m:rPr>
                      <m:sty m:val="p"/>
                    </m:rPr>
                    <a:rPr kumimoji="1" lang="en-US" altLang="ja-JP" sz="1600" b="0" i="0">
                      <a:latin typeface="Cambria Math" panose="02040503050406030204" pitchFamily="18" charset="0"/>
                    </a:rPr>
                    <m:t>Lc</m:t>
                  </m:r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+</m:t>
                  </m:r>
                  <m:r>
                    <m:rPr>
                      <m:sty m:val="p"/>
                    </m:rPr>
                    <a:rPr kumimoji="1" lang="en-US" altLang="ja-JP" sz="1600" b="0" i="0">
                      <a:latin typeface="Cambria Math" panose="02040503050406030204" pitchFamily="18" charset="0"/>
                    </a:rPr>
                    <m:t>e</m:t>
                  </m:r>
                  <m:r>
                    <a:rPr kumimoji="1" lang="en-US" altLang="ja-JP" sz="1600" b="0" i="0">
                      <a:latin typeface="Cambria Math" panose="02040503050406030204" pitchFamily="18" charset="0"/>
                    </a:rPr>
                    <m:t>)</m:t>
                  </m:r>
                </m:oMath>
              </a14:m>
              <a:endParaRPr kumimoji="1" lang="en-US" altLang="ja-JP" sz="1600" i="0"/>
            </a:p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b="0" i="0">
                        <a:latin typeface="Cambria Math" panose="02040503050406030204" pitchFamily="18" charset="0"/>
                      </a:rPr>
                      <m:t>e</m:t>
                    </m:r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m:rPr>
                                <m:sty m:val="p"/>
                              </m:rPr>
                              <a:rPr kumimoji="1" lang="en-US" altLang="ja-JP" sz="1600" b="0" i="0">
                                <a:latin typeface="Cambria Math" panose="02040503050406030204" pitchFamily="18" charset="0"/>
                              </a:rPr>
                              <m:t>N</m:t>
                            </m:r>
                          </m:e>
                          <m:sup>
                            <m:r>
                              <a:rPr kumimoji="1" lang="en-US" altLang="ja-JP" sz="1600" b="0" i="0">
                                <a:latin typeface="Cambria Math" panose="02040503050406030204" pitchFamily="18" charset="0"/>
                              </a:rPr>
                              <m:t>′</m:t>
                            </m:r>
                          </m:sup>
                        </m:sSup>
                        <m:r>
                          <m:rPr>
                            <m:sty m:val="p"/>
                          </m:rP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A</m:t>
                        </m:r>
                        <m: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m:rPr>
                            <m:sty m:val="p"/>
                          </m:rP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Lb</m:t>
                        </m:r>
                      </m:num>
                      <m:den>
                        <m:r>
                          <m:rPr>
                            <m:sty m:val="p"/>
                          </m:rPr>
                          <a:rPr kumimoji="1" lang="en-US" altLang="ja-JP" sz="1600" i="0">
                            <a:latin typeface="Cambria Math" panose="02040503050406030204" pitchFamily="18" charset="0"/>
                          </a:rPr>
                          <m:t>Σ</m:t>
                        </m:r>
                        <m:r>
                          <m:rPr>
                            <m:sty m:val="p"/>
                          </m:rP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N</m:t>
                        </m:r>
                        <m: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′</m:t>
                        </m:r>
                      </m:den>
                    </m:f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kumimoji="1" lang="en-US" altLang="ja-JP" sz="1600" b="0" i="0">
                        <a:latin typeface="Cambria Math" panose="02040503050406030204" pitchFamily="18" charset="0"/>
                      </a:rPr>
                      <m:t>Lc</m:t>
                    </m:r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L</m:t>
                        </m:r>
                      </m:num>
                      <m:den>
                        <m:r>
                          <a:rPr kumimoji="1" lang="en-US" altLang="ja-JP" sz="1600" b="0" i="0">
                            <a:latin typeface="Cambria Math" panose="02040503050406030204" pitchFamily="18" charset="0"/>
                          </a:rPr>
                          <m:t>2</m:t>
                        </m:r>
                      </m:den>
                    </m:f>
                  </m:oMath>
                </m:oMathPara>
              </a14:m>
              <a:endParaRPr kumimoji="1" lang="ja-JP" altLang="en-US" sz="1600" i="0"/>
            </a:p>
          </xdr:txBody>
        </xdr:sp>
      </mc:Choice>
      <mc:Fallback>
        <xdr:sp macro="" textlink="">
          <xdr:nvSpPr>
            <xdr:cNvPr id="3" name="テキスト ボックス 2">
              <a:extLst>
                <a:ext uri="{FF2B5EF4-FFF2-40B4-BE49-F238E27FC236}">
                  <a16:creationId xmlns:a16="http://schemas.microsoft.com/office/drawing/2014/main" id="{3AF67699-1EB4-4958-A252-D5749470E5A8}"/>
                </a:ext>
              </a:extLst>
            </xdr:cNvPr>
            <xdr:cNvSpPr txBox="1"/>
          </xdr:nvSpPr>
          <xdr:spPr>
            <a:xfrm>
              <a:off x="4029075" y="2314574"/>
              <a:ext cx="2600325" cy="17833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 algn="ctr"/>
              <a:r>
                <a:rPr kumimoji="1" lang="en-US" altLang="ja-JP" sz="1600" i="0">
                  <a:latin typeface="Cambria Math" panose="02040503050406030204" pitchFamily="18" charset="0"/>
                </a:rPr>
                <a:t>N’A</a:t>
              </a:r>
              <a:r>
                <a:rPr kumimoji="1" lang="ja-JP" altLang="en-US" sz="1600" i="0">
                  <a:latin typeface="Cambria Math" panose="02040503050406030204" pitchFamily="18" charset="0"/>
                </a:rPr>
                <a:t>・</a:t>
              </a:r>
              <a:r>
                <a:rPr kumimoji="1" lang="en-US" altLang="ja-JP" sz="1600" i="0"/>
                <a:t>Lb=ΣN'</a:t>
              </a:r>
              <a:r>
                <a:rPr kumimoji="1" lang="ja-JP" altLang="en-US" sz="1600" i="0"/>
                <a:t>・</a:t>
              </a:r>
              <a:r>
                <a:rPr kumimoji="1" lang="en-US" altLang="ja-JP" sz="1600" i="0"/>
                <a:t>X</a:t>
              </a:r>
              <a:r>
                <a:rPr kumimoji="1" lang="ja-JP" altLang="en-US" sz="1600" i="0"/>
                <a:t>　①</a:t>
              </a:r>
              <a:endParaRPr kumimoji="1" lang="en-US" altLang="ja-JP" sz="1600" i="0"/>
            </a:p>
            <a:p>
              <a:pPr algn="ctr"/>
              <a:r>
                <a:rPr kumimoji="1" lang="en-US" altLang="ja-JP" sz="1600" b="0" i="0">
                  <a:latin typeface="Cambria Math" panose="02040503050406030204" pitchFamily="18" charset="0"/>
                </a:rPr>
                <a:t>X=L/2−Lc+e</a:t>
              </a:r>
              <a:r>
                <a:rPr kumimoji="1" lang="en-US" altLang="ja-JP" sz="1600" i="0"/>
                <a:t> </a:t>
              </a:r>
              <a:r>
                <a:rPr kumimoji="1" lang="ja-JP" altLang="en-US" sz="1600" i="0"/>
                <a:t>　②</a:t>
              </a:r>
              <a:endParaRPr kumimoji="1" lang="en-US" altLang="ja-JP" sz="1600" i="0"/>
            </a:p>
            <a:p>
              <a:pPr algn="ctr"/>
              <a:r>
                <a:rPr kumimoji="1" lang="ja-JP" altLang="en-US" sz="1200" i="0"/>
                <a:t>①を②へ代入</a:t>
              </a:r>
              <a:endParaRPr kumimoji="1" lang="en-US" altLang="ja-JP" sz="1200" i="0"/>
            </a:p>
            <a:p>
              <a:pPr algn="ctr"/>
              <a:r>
                <a:rPr kumimoji="1" lang="ja-JP" altLang="en-US" sz="1600" i="0"/>
                <a:t>𝑁’𝐴・</a:t>
              </a:r>
              <a:r>
                <a:rPr kumimoji="1" lang="en-US" altLang="ja-JP" sz="1600" i="0"/>
                <a:t>Lb</a:t>
              </a:r>
              <a:r>
                <a:rPr kumimoji="1" lang="ja-JP" altLang="en-US" sz="1600" i="0"/>
                <a:t>＝</a:t>
              </a:r>
              <a:r>
                <a:rPr kumimoji="1" lang="en-US" altLang="ja-JP" sz="1600" i="0"/>
                <a:t>ΣN'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(L/2−Lc+e)</a:t>
              </a:r>
              <a:endParaRPr kumimoji="1" lang="en-US" altLang="ja-JP" sz="1600" i="0"/>
            </a:p>
            <a:p>
              <a:pPr algn="ctr"/>
              <a:r>
                <a:rPr kumimoji="1" lang="en-US" altLang="ja-JP" sz="1600" b="0" i="0">
                  <a:latin typeface="Cambria Math" panose="02040503050406030204" pitchFamily="18" charset="0"/>
                </a:rPr>
                <a:t>e=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(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N^′ A∗Lb)/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Σ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N′+Lc−L/2</a:t>
              </a:r>
              <a:endParaRPr kumimoji="1" lang="ja-JP" altLang="en-US" sz="1600" i="0"/>
            </a:p>
          </xdr:txBody>
        </xdr:sp>
      </mc:Fallback>
    </mc:AlternateContent>
    <xdr:clientData/>
  </xdr:oneCellAnchor>
  <xdr:oneCellAnchor>
    <xdr:from>
      <xdr:col>0</xdr:col>
      <xdr:colOff>57151</xdr:colOff>
      <xdr:row>33</xdr:row>
      <xdr:rowOff>66676</xdr:rowOff>
    </xdr:from>
    <xdr:ext cx="3943350" cy="95249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ED060391-BDCE-41D2-849A-166E5A232F8D}"/>
                </a:ext>
              </a:extLst>
            </xdr:cNvPr>
            <xdr:cNvSpPr txBox="1"/>
          </xdr:nvSpPr>
          <xdr:spPr>
            <a:xfrm>
              <a:off x="57151" y="6038851"/>
              <a:ext cx="3943350" cy="9524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i="1">
                        <a:latin typeface="Cambria Math" panose="02040503050406030204" pitchFamily="18" charset="0"/>
                      </a:rPr>
                      <m:t>α</m:t>
                    </m:r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=1+6∗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𝑒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</m:t>
                        </m:r>
                      </m:den>
                    </m:f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  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       </m:t>
                    </m:r>
                    <m:r>
                      <m:rPr>
                        <m:sty m:val="p"/>
                      </m:rP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α</m:t>
                    </m:r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′</m:t>
                    </m:r>
                    <m:r>
                      <a:rPr kumimoji="1" lang="en-US" altLang="ja-JP" sz="1600" b="0" i="0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=1−6∗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𝑒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</m:den>
                    </m:f>
                  </m:oMath>
                </m:oMathPara>
              </a14:m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X</m:t>
                    </m:r>
                    <m:r>
                      <m:rPr>
                        <m:sty m:val="p"/>
                      </m:rPr>
                      <a:rPr kumimoji="1" lang="en-US" altLang="ja-JP" sz="1600" b="0" i="0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n</m:t>
                    </m:r>
                    <m:r>
                      <a:rPr kumimoji="1" lang="en-US" altLang="ja-JP" sz="1600" b="0" i="0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2</m:t>
                        </m:r>
                      </m:den>
                    </m:f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(1+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6</m:t>
                        </m:r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𝑒</m:t>
                        </m:r>
                      </m:den>
                    </m:f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)</m:t>
                    </m:r>
                  </m:oMath>
                </m:oMathPara>
              </a14:m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algn="ctr"/>
              <a:endParaRPr kumimoji="1" lang="en-US" altLang="ja-JP" sz="1600" i="0"/>
            </a:p>
          </xdr:txBody>
        </xdr:sp>
      </mc:Choice>
      <mc:Fallback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ED060391-BDCE-41D2-849A-166E5A232F8D}"/>
                </a:ext>
              </a:extLst>
            </xdr:cNvPr>
            <xdr:cNvSpPr txBox="1"/>
          </xdr:nvSpPr>
          <xdr:spPr>
            <a:xfrm>
              <a:off x="57151" y="6038851"/>
              <a:ext cx="3943350" cy="9524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l"/>
              <a:r>
                <a:rPr kumimoji="1" lang="en-US" altLang="ja-JP" sz="1600" i="0">
                  <a:latin typeface="Cambria Math" panose="02040503050406030204" pitchFamily="18" charset="0"/>
                </a:rPr>
                <a:t>α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=1+6∗𝑒/𝐿          </a:t>
              </a: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α′=1−6∗𝑒/𝐿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Xn=𝐿/2(1+𝐿/6𝑒)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algn="ctr"/>
              <a:endParaRPr kumimoji="1" lang="en-US" altLang="ja-JP" sz="1600" i="0"/>
            </a:p>
          </xdr:txBody>
        </xdr:sp>
      </mc:Fallback>
    </mc:AlternateContent>
    <xdr:clientData/>
  </xdr:oneCellAnchor>
  <xdr:oneCellAnchor>
    <xdr:from>
      <xdr:col>11</xdr:col>
      <xdr:colOff>161925</xdr:colOff>
      <xdr:row>33</xdr:row>
      <xdr:rowOff>95251</xdr:rowOff>
    </xdr:from>
    <xdr:ext cx="4105275" cy="9144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99E112C6-D748-43DC-822C-C7B06E4C59C6}"/>
                </a:ext>
              </a:extLst>
            </xdr:cNvPr>
            <xdr:cNvSpPr txBox="1"/>
          </xdr:nvSpPr>
          <xdr:spPr>
            <a:xfrm>
              <a:off x="3952875" y="6067426"/>
              <a:ext cx="4105275" cy="914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i="1">
                        <a:latin typeface="Cambria Math" panose="02040503050406030204" pitchFamily="18" charset="0"/>
                      </a:rPr>
                      <m:t>α</m:t>
                    </m:r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2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3(</m:t>
                        </m:r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</m:t>
                        </m:r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𝑒</m:t>
                            </m:r>
                          </m:num>
                          <m:den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𝐿</m:t>
                            </m:r>
                          </m:den>
                        </m:f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        </m:t>
                    </m:r>
                    <m:r>
                      <m:rPr>
                        <m:sty m:val="p"/>
                      </m:rP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X</m:t>
                    </m:r>
                    <m:r>
                      <m:rPr>
                        <m:sty m:val="p"/>
                      </m:rPr>
                      <a:rPr kumimoji="1" lang="en-US" altLang="ja-JP" sz="1600" b="0" i="0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n</m:t>
                    </m:r>
                    <m:r>
                      <a:rPr kumimoji="1" lang="en-US" altLang="ja-JP" sz="1600" b="0" i="0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=</m:t>
                    </m:r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3</m:t>
                    </m:r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𝐿</m:t>
                    </m:r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(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2</m:t>
                        </m:r>
                      </m:den>
                    </m:f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−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𝑒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</m:den>
                    </m:f>
                    <m:r>
                      <a:rPr kumimoji="1" lang="en-US" altLang="ja-JP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)</m:t>
                    </m:r>
                  </m:oMath>
                </m:oMathPara>
              </a14:m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algn="ctr"/>
              <a:endParaRPr kumimoji="1" lang="en-US" altLang="ja-JP" sz="1600" i="0"/>
            </a:p>
          </xdr:txBody>
        </xdr:sp>
      </mc:Choice>
      <mc:Fallback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99E112C6-D748-43DC-822C-C7B06E4C59C6}"/>
                </a:ext>
              </a:extLst>
            </xdr:cNvPr>
            <xdr:cNvSpPr txBox="1"/>
          </xdr:nvSpPr>
          <xdr:spPr>
            <a:xfrm>
              <a:off x="3952875" y="6067426"/>
              <a:ext cx="4105275" cy="914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kumimoji="1" lang="en-US" altLang="ja-JP" sz="1600" i="0">
                  <a:latin typeface="Cambria Math" panose="02040503050406030204" pitchFamily="18" charset="0"/>
                </a:rPr>
                <a:t>α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=2/(3(1/2−𝑒/𝐿))         </a:t>
              </a: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Xn=3𝐿(𝐿/2−𝑒/𝐿)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endParaRPr>
            </a:p>
            <a:p>
              <a:pPr algn="ctr"/>
              <a:endParaRPr kumimoji="1" lang="en-US" altLang="ja-JP" sz="1600" i="0"/>
            </a:p>
          </xdr:txBody>
        </xdr:sp>
      </mc:Fallback>
    </mc:AlternateContent>
    <xdr:clientData/>
  </xdr:oneCellAnchor>
  <xdr:oneCellAnchor>
    <xdr:from>
      <xdr:col>1</xdr:col>
      <xdr:colOff>285750</xdr:colOff>
      <xdr:row>52</xdr:row>
      <xdr:rowOff>38100</xdr:rowOff>
    </xdr:from>
    <xdr:ext cx="1543050" cy="6096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B3469762-2C65-498E-A285-2A67BA46130B}"/>
                </a:ext>
              </a:extLst>
            </xdr:cNvPr>
            <xdr:cNvSpPr txBox="1"/>
          </xdr:nvSpPr>
          <xdr:spPr>
            <a:xfrm>
              <a:off x="552450" y="9086850"/>
              <a:ext cx="1543050" cy="609600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Lfe</m:t>
                    </m:r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=</m:t>
                    </m:r>
                    <m:r>
                      <m:rPr>
                        <m:sty m:val="p"/>
                      </m:rPr>
                      <a:rPr kumimoji="1" lang="en-US" altLang="ja-JP" sz="16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α</m:t>
                    </m:r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∗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Σ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𝑁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∗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′</m:t>
                        </m:r>
                      </m:den>
                    </m:f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 </m:t>
                    </m:r>
                  </m:oMath>
                </m:oMathPara>
              </a14:m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</mc:Choice>
      <mc:Fallback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B3469762-2C65-498E-A285-2A67BA46130B}"/>
                </a:ext>
              </a:extLst>
            </xdr:cNvPr>
            <xdr:cNvSpPr txBox="1"/>
          </xdr:nvSpPr>
          <xdr:spPr>
            <a:xfrm>
              <a:off x="552450" y="9086850"/>
              <a:ext cx="1543050" cy="609600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Lfe=α∗Σ𝑁/(𝐿∗𝐿′)  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2</xdr:col>
      <xdr:colOff>0</xdr:colOff>
      <xdr:row>70</xdr:row>
      <xdr:rowOff>152400</xdr:rowOff>
    </xdr:from>
    <xdr:ext cx="1543050" cy="6096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6C5078A0-A886-4E8F-B0E2-22A508F4AF47}"/>
                </a:ext>
              </a:extLst>
            </xdr:cNvPr>
            <xdr:cNvSpPr txBox="1"/>
          </xdr:nvSpPr>
          <xdr:spPr>
            <a:xfrm>
              <a:off x="619125" y="11763375"/>
              <a:ext cx="1543050" cy="609600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sfe</m:t>
                    </m:r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=</m:t>
                    </m:r>
                    <m:r>
                      <m:rPr>
                        <m:sty m:val="p"/>
                      </m:rPr>
                      <a:rPr kumimoji="1" lang="en-US" altLang="ja-JP" sz="1600" b="0" i="1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α</m:t>
                    </m:r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∗</m:t>
                    </m:r>
                    <m:f>
                      <m:fPr>
                        <m:ctrlP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Σ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𝑁</m:t>
                        </m:r>
                      </m:num>
                      <m:den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∗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𝐿</m:t>
                        </m:r>
                        <m:r>
                          <a:rPr kumimoji="1" lang="en-US" altLang="ja-JP" sz="1600" b="0" i="1" u="none" strike="noStrike" kern="0" cap="none" spc="0" normalizeH="0" baseline="0" noProof="0" smtClean="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cs typeface="+mn-cs"/>
                          </a:rPr>
                          <m:t>′</m:t>
                        </m:r>
                      </m:den>
                    </m:f>
                    <m:r>
                      <a:rPr kumimoji="1" lang="en-US" altLang="ja-JP" sz="1600" b="0" i="0" u="none" strike="noStrike" kern="0" cap="none" spc="0" normalizeH="0" baseline="0" noProof="0" smtClean="0">
                        <a:ln>
                          <a:noFill/>
                        </a:ln>
                        <a:solidFill>
                          <a:sysClr val="windowText" lastClr="000000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cs typeface="+mn-cs"/>
                      </a:rPr>
                      <m:t> </m:t>
                    </m:r>
                  </m:oMath>
                </m:oMathPara>
              </a14:m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</mc:Choice>
      <mc:Fallback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6C5078A0-A886-4E8F-B0E2-22A508F4AF47}"/>
                </a:ext>
              </a:extLst>
            </xdr:cNvPr>
            <xdr:cNvSpPr txBox="1"/>
          </xdr:nvSpPr>
          <xdr:spPr>
            <a:xfrm>
              <a:off x="619125" y="11763375"/>
              <a:ext cx="1543050" cy="609600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square" lIns="0" tIns="0" rIns="0" bIns="0" rtlCol="0" anchor="t">
              <a:noAutofit/>
            </a:bodyPr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16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cs typeface="+mn-cs"/>
                </a:rPr>
                <a:t>sfe=α∗Σ𝑁/(𝐿∗𝐿′)  </a:t>
              </a: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1" lang="en-US" altLang="ja-JP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游ゴシック" panose="020B0400000000000000" pitchFamily="50" charset="-128"/>
                <a:cs typeface="+mn-cs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7083;&#36896;&#35373;&#35336;\&#27083;&#36896;&#35336;&#31639;&#29992;\&#35336;&#31639;&#26360;&#29992;&#26360;&#24335;\&#12456;&#12463;&#12475;&#12523;\&#27083;&#36896;&#27010;&#35201;&#65288;&#19968;&#33324;&#20107;&#38917;&#3156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7083;&#36896;&#35373;&#35336;\&#27083;&#36896;&#35336;&#31639;&#29992;\&#35373;&#35336;&#20107;&#21209;&#25152;\&#20855;&#24535;&#22533;&#35373;&#35336;\K&#27663;&#20849;&#21516;&#20303;&#23429;&#26032;&#31689;&#24037;&#20107;\&#34920;&#32025;&#12539;&#30446;&#27425;&#65288;&#22721;&#24335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Program%20Files\Microsoft%20Office\Root\Office16\LIBRARY\TEXTCALC2.xla" TargetMode="External"/><Relationship Id="rId1" Type="http://schemas.microsoft.com/office/2006/relationships/xlExternalLinkPath/xlLibrary" Target="TEXTCALC2.xla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249\nas-2022&#20849;&#26377;&#12501;&#12457;&#12523;&#12480;\&#9324;2022_&#36196;&#23994;\02.&#12304;&#36914;&#34892;&#20013;&#12305;\&#12304;096&#12305;220608&#12288;&#12539;&#12304;&#12473;&#12479;&#12452;&#12523;&#12463;&#12522;&#12456;&#12452;&#12488;&#12305;&#12288;TOMA%20PJ&#12288;&#65335;&#65330;&#65315;1&#65318;&#12288;&#65288;&#28657;&#24029;&#65289;\2.&#20316;&#26989;&#12487;&#12540;&#12479;&#65288;&#36196;&#23994;&#65289;\11.&#20491;&#21029;&#26908;&#35342;\E&#36890;&#12426;&#12288;&#36578;&#20498;&#12398;&#26908;&#35342;.xlsx" TargetMode="External"/><Relationship Id="rId1" Type="http://schemas.openxmlformats.org/officeDocument/2006/relationships/externalLinkPath" Target="file:///\\192.168.1.249\nas-2022&#20849;&#26377;&#12501;&#12457;&#12523;&#12480;\&#9324;2022_&#36196;&#23994;\02.&#12304;&#36914;&#34892;&#20013;&#12305;\&#12304;096&#12305;220608&#12288;&#12539;&#12304;&#12473;&#12479;&#12452;&#12523;&#12463;&#12522;&#12456;&#12452;&#12488;&#12305;&#12288;TOMA%20PJ&#12288;&#65335;&#65330;&#65315;1&#65318;&#12288;&#65288;&#28657;&#24029;&#65289;\2.&#20316;&#26989;&#12487;&#12540;&#12479;&#65288;&#36196;&#23994;&#65289;\11.&#20491;&#21029;&#26908;&#35342;\E&#36890;&#12426;&#12288;&#36578;&#20498;&#12398;&#26908;&#35342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amine-PC\Desktop\E&#36890;&#12426;&#22721;&#12288;&#30701;&#26399;&#25509;&#22320;&#22311;&#26908;&#35342;.xlsx" TargetMode="External"/><Relationship Id="rId1" Type="http://schemas.openxmlformats.org/officeDocument/2006/relationships/externalLinkPath" Target="E&#36890;&#12426;&#22721;&#12288;&#30701;&#26399;&#25509;&#22320;&#22311;&#26908;&#353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概要"/>
      <sheetName val="表紙"/>
      <sheetName val="目次"/>
      <sheetName val="一般事項"/>
      <sheetName val="認定書表紙"/>
      <sheetName val="リス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3"/>
    </sheetNames>
    <sheetDataSet>
      <sheetData sheetId="0">
        <row r="8">
          <cell r="C8" t="str">
            <v>設計事務所</v>
          </cell>
        </row>
        <row r="9">
          <cell r="C9" t="str">
            <v>㈱総合計画設計</v>
          </cell>
        </row>
        <row r="10">
          <cell r="C10" t="str">
            <v>アトリエZEN</v>
          </cell>
        </row>
        <row r="11">
          <cell r="C11" t="str">
            <v>㈱牧港ヒューム管工業所</v>
          </cell>
        </row>
        <row r="12">
          <cell r="C12" t="str">
            <v>団設計工房</v>
          </cell>
        </row>
        <row r="13">
          <cell r="C13" t="str">
            <v>㈲汎設計工房</v>
          </cell>
        </row>
        <row r="14">
          <cell r="C14" t="str">
            <v>宮城建築設計事務所</v>
          </cell>
        </row>
        <row r="15">
          <cell r="C15" t="str">
            <v>設計GROUP群</v>
          </cell>
        </row>
        <row r="16">
          <cell r="C16" t="str">
            <v>かりゆし現場</v>
          </cell>
        </row>
        <row r="17">
          <cell r="C17" t="str">
            <v>㈲宮森設計</v>
          </cell>
        </row>
        <row r="18">
          <cell r="C18" t="str">
            <v>㈲秀建設計事務所</v>
          </cell>
        </row>
        <row r="19">
          <cell r="C19" t="str">
            <v>津嘉山建築設計事務所</v>
          </cell>
        </row>
        <row r="20">
          <cell r="C20" t="str">
            <v>㈱ニーズ・エンジニアリング</v>
          </cell>
        </row>
        <row r="21">
          <cell r="C21" t="str">
            <v>㈱AMS設計</v>
          </cell>
        </row>
        <row r="22">
          <cell r="C22" t="str">
            <v>渡慶次建築設計事務所</v>
          </cell>
        </row>
        <row r="23">
          <cell r="C23" t="str">
            <v>りゅうせき建設設計事務所</v>
          </cell>
        </row>
        <row r="24">
          <cell r="C24" t="str">
            <v>㈱具志堅建築設計事務所</v>
          </cell>
        </row>
        <row r="25">
          <cell r="C25" t="str">
            <v>㈲名工企画設計</v>
          </cell>
        </row>
        <row r="26">
          <cell r="C26" t="str">
            <v>沖縄テクノクリート株式会社</v>
          </cell>
        </row>
        <row r="27">
          <cell r="C27" t="str">
            <v>（有）現代設計</v>
          </cell>
        </row>
        <row r="28">
          <cell r="C28" t="str">
            <v>㈱国建</v>
          </cell>
        </row>
        <row r="29">
          <cell r="C29" t="str">
            <v>拓南鐵建株式会社</v>
          </cell>
        </row>
        <row r="30">
          <cell r="C30" t="str">
            <v>（株）東設計工房</v>
          </cell>
        </row>
        <row r="31">
          <cell r="C31" t="str">
            <v>さくもと建設工業</v>
          </cell>
        </row>
        <row r="32">
          <cell r="C32" t="str">
            <v>日本建築家協会（JIA)沖縄支部</v>
          </cell>
        </row>
        <row r="33">
          <cell r="C33" t="str">
            <v>ビジネスプラザGAHO</v>
          </cell>
        </row>
        <row r="34">
          <cell r="C34" t="str">
            <v>玉建設計</v>
          </cell>
        </row>
        <row r="35">
          <cell r="C35" t="str">
            <v>九州職業能力開発大学校</v>
          </cell>
        </row>
        <row r="36">
          <cell r="C36" t="str">
            <v>長谷部建築研究所</v>
          </cell>
        </row>
        <row r="37">
          <cell r="C37" t="str">
            <v>(有）エリア</v>
          </cell>
        </row>
        <row r="38">
          <cell r="C38" t="str">
            <v>柴康</v>
          </cell>
        </row>
        <row r="39">
          <cell r="C39" t="str">
            <v>南部国道事務所</v>
          </cell>
        </row>
        <row r="40">
          <cell r="C40" t="str">
            <v>日鉄コンポジェット株式会社</v>
          </cell>
        </row>
        <row r="41">
          <cell r="C41" t="str">
            <v>（有）真玉橋設計事務所</v>
          </cell>
        </row>
        <row r="42">
          <cell r="C42" t="str">
            <v>東亜エンジニヤリング</v>
          </cell>
        </row>
        <row r="43">
          <cell r="C43" t="str">
            <v>総合設計　玉城</v>
          </cell>
        </row>
        <row r="44">
          <cell r="C44" t="str">
            <v>イクセル設計</v>
          </cell>
        </row>
        <row r="45">
          <cell r="C45" t="str">
            <v>松島設計</v>
          </cell>
        </row>
        <row r="46">
          <cell r="C46" t="str">
            <v>（資）宮平建築設計事務所</v>
          </cell>
        </row>
        <row r="47">
          <cell r="C47" t="str">
            <v>エプソンサービスセンター株式会社</v>
          </cell>
        </row>
        <row r="48">
          <cell r="C48" t="str">
            <v>（有）仲本設計</v>
          </cell>
        </row>
        <row r="49">
          <cell r="C49" t="str">
            <v>IDA</v>
          </cell>
        </row>
        <row r="50">
          <cell r="C50" t="str">
            <v>デザインネットワーク</v>
          </cell>
        </row>
        <row r="51">
          <cell r="C51" t="str">
            <v>大正土木株式会社</v>
          </cell>
        </row>
        <row r="52">
          <cell r="C52" t="str">
            <v>知念設計</v>
          </cell>
        </row>
        <row r="53">
          <cell r="C53" t="str">
            <v>都市計画デザインシステム</v>
          </cell>
        </row>
        <row r="54">
          <cell r="C54" t="str">
            <v>アズ企画</v>
          </cell>
        </row>
        <row r="55">
          <cell r="C55" t="str">
            <v>共和化工　株式会社</v>
          </cell>
        </row>
        <row r="56">
          <cell r="C56" t="str">
            <v>（株）かみもり設計</v>
          </cell>
        </row>
        <row r="57">
          <cell r="C57" t="str">
            <v>株式会社　電通</v>
          </cell>
        </row>
        <row r="58">
          <cell r="C58" t="str">
            <v>株式会社　設備研究所</v>
          </cell>
        </row>
        <row r="59">
          <cell r="C59" t="str">
            <v>株式会社　　上原土木</v>
          </cell>
        </row>
        <row r="60">
          <cell r="C60" t="str">
            <v>南部国道</v>
          </cell>
        </row>
        <row r="61">
          <cell r="C61" t="str">
            <v>（有）外間建築設計事務所</v>
          </cell>
        </row>
        <row r="62">
          <cell r="C62" t="str">
            <v>（有）三和総合設計</v>
          </cell>
        </row>
        <row r="63">
          <cell r="C63" t="str">
            <v>有限会社　新田組</v>
          </cell>
        </row>
        <row r="64">
          <cell r="C64" t="str">
            <v>東洋コンクリート</v>
          </cell>
        </row>
        <row r="65">
          <cell r="C65" t="str">
            <v>（株）大洋土木コンサルタント</v>
          </cell>
        </row>
        <row r="66">
          <cell r="C66" t="str">
            <v>光建設株式会社</v>
          </cell>
        </row>
        <row r="67">
          <cell r="C67" t="str">
            <v>めかる設計</v>
          </cell>
        </row>
        <row r="68">
          <cell r="C68" t="str">
            <v>宮城建築設計事務所</v>
          </cell>
        </row>
        <row r="69">
          <cell r="C69" t="str">
            <v>（有）玉沢建築設計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definedNames>
      <definedName name="TEXTCALC2"/>
    </defined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計荷重 (2)"/>
      <sheetName val="水平力算出 E通"/>
      <sheetName val="水平力算出  F通"/>
      <sheetName val="W20E,F通り一体化"/>
      <sheetName val="Sheet4"/>
      <sheetName val="Sheet5"/>
      <sheetName val="W20階段含む"/>
      <sheetName val="W20修正"/>
      <sheetName val="W26"/>
      <sheetName val="接地圧検討 地震M (最終Ver"/>
      <sheetName val="Sheet3"/>
      <sheetName val="設計荷重　嵩原邸"/>
      <sheetName val="設計荷重"/>
      <sheetName val="RTW1"/>
      <sheetName val="接地圧検討 地震M"/>
      <sheetName val="接地圧検討 風M"/>
      <sheetName val="RTW3"/>
      <sheetName val="Sheet1"/>
      <sheetName val="短期接地圧"/>
    </sheetNames>
    <sheetDataSet>
      <sheetData sheetId="0"/>
      <sheetData sheetId="1"/>
      <sheetData sheetId="2"/>
      <sheetData sheetId="3">
        <row r="28">
          <cell r="N28">
            <v>38.037600000000005</v>
          </cell>
        </row>
        <row r="36">
          <cell r="N36">
            <v>9.7080000000000002</v>
          </cell>
        </row>
        <row r="38">
          <cell r="N38">
            <v>8.2199999999999989</v>
          </cell>
        </row>
        <row r="40">
          <cell r="N40">
            <v>13.682499999999999</v>
          </cell>
        </row>
        <row r="46">
          <cell r="N46">
            <v>150.58409999999998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短期接地圧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300BD-AE68-4373-B909-669F3D16DD80}">
  <sheetPr>
    <tabColor rgb="FFFF0000"/>
  </sheetPr>
  <dimension ref="A1:CJ59"/>
  <sheetViews>
    <sheetView view="pageBreakPreview" zoomScale="124" zoomScaleNormal="100" zoomScaleSheetLayoutView="124" workbookViewId="0">
      <selection activeCell="N29" sqref="N29"/>
    </sheetView>
  </sheetViews>
  <sheetFormatPr defaultRowHeight="18.75"/>
  <cols>
    <col min="1" max="19" width="4.625" style="79" customWidth="1"/>
    <col min="20" max="16384" width="9" style="79"/>
  </cols>
  <sheetData>
    <row r="1" spans="1:28" s="74" customFormat="1" ht="27" customHeight="1">
      <c r="D1" s="138" t="s">
        <v>200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8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 t="s">
        <v>201</v>
      </c>
      <c r="S2" s="78"/>
    </row>
    <row r="3" spans="1:28" s="74" customFormat="1" ht="13.5" customHeight="1">
      <c r="A3" s="80" t="s">
        <v>202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1"/>
      <c r="O3" s="76"/>
      <c r="P3" s="76"/>
      <c r="Q3" s="76"/>
      <c r="R3" s="76"/>
      <c r="S3" s="76"/>
      <c r="T3" s="76"/>
      <c r="U3" s="76"/>
      <c r="V3" s="76"/>
      <c r="W3" s="81"/>
      <c r="X3" s="81"/>
      <c r="Y3" s="81"/>
      <c r="Z3" s="81"/>
      <c r="AA3" s="76"/>
      <c r="AB3" s="76"/>
    </row>
    <row r="4" spans="1:28" s="74" customFormat="1" ht="13.5" customHeight="1">
      <c r="A4" s="76"/>
      <c r="B4" s="76"/>
      <c r="C4" s="76"/>
      <c r="D4" s="76"/>
      <c r="E4" s="76"/>
      <c r="F4" s="76"/>
      <c r="G4" s="76"/>
      <c r="H4" s="76"/>
      <c r="I4" s="76"/>
      <c r="J4" s="76" t="s">
        <v>203</v>
      </c>
      <c r="K4" s="76"/>
      <c r="L4" s="76"/>
      <c r="M4" s="76"/>
      <c r="N4" s="81"/>
      <c r="O4" s="76"/>
      <c r="P4" s="76"/>
      <c r="Q4" s="76"/>
      <c r="R4" s="76"/>
      <c r="S4" s="76"/>
      <c r="T4" s="76"/>
      <c r="U4" s="76"/>
      <c r="V4" s="76"/>
      <c r="W4" s="81"/>
      <c r="X4" s="81"/>
      <c r="Y4" s="81"/>
      <c r="Z4" s="81"/>
      <c r="AA4" s="76"/>
      <c r="AB4" s="76"/>
    </row>
    <row r="5" spans="1:28" s="74" customFormat="1" ht="13.5" customHeight="1">
      <c r="A5" s="76" t="s">
        <v>204</v>
      </c>
      <c r="B5" s="76"/>
      <c r="C5" s="76"/>
      <c r="D5" s="76"/>
      <c r="E5" s="76"/>
      <c r="F5" s="76"/>
      <c r="G5" s="76"/>
      <c r="H5" s="76"/>
      <c r="I5" s="76"/>
      <c r="J5" s="76" t="s">
        <v>205</v>
      </c>
      <c r="K5" s="76">
        <f>5.78</f>
        <v>5.78</v>
      </c>
      <c r="L5" s="76"/>
      <c r="M5" s="76"/>
      <c r="N5" s="81"/>
      <c r="O5" s="76"/>
      <c r="P5" s="82"/>
      <c r="Q5" s="83"/>
      <c r="R5" s="84"/>
      <c r="S5" s="84"/>
      <c r="T5" s="76"/>
      <c r="U5" s="76"/>
      <c r="V5" s="81"/>
      <c r="W5" s="81"/>
      <c r="X5" s="81"/>
      <c r="Y5" s="81"/>
      <c r="Z5" s="81"/>
      <c r="AA5" s="76"/>
      <c r="AB5" s="76"/>
    </row>
    <row r="6" spans="1:28" s="74" customFormat="1" ht="13.5" customHeight="1">
      <c r="A6" s="81" t="s">
        <v>206</v>
      </c>
      <c r="C6" s="83" t="s">
        <v>207</v>
      </c>
      <c r="D6" s="85">
        <v>0.7</v>
      </c>
      <c r="E6" s="86"/>
      <c r="F6" s="76"/>
      <c r="G6" s="81"/>
      <c r="H6" s="76"/>
      <c r="I6" s="76"/>
      <c r="J6" s="76" t="s">
        <v>208</v>
      </c>
      <c r="K6" s="76">
        <v>1.6</v>
      </c>
      <c r="L6" s="87" t="s">
        <v>209</v>
      </c>
      <c r="M6" s="76"/>
      <c r="N6" s="81"/>
      <c r="O6" s="76"/>
      <c r="P6" s="76"/>
      <c r="Q6" s="76"/>
      <c r="R6" s="76"/>
    </row>
    <row r="7" spans="1:28" s="74" customFormat="1" ht="13.5">
      <c r="A7" s="81" t="s">
        <v>210</v>
      </c>
      <c r="C7" s="83" t="s">
        <v>207</v>
      </c>
      <c r="D7" s="85">
        <v>0.5</v>
      </c>
      <c r="E7" s="86"/>
      <c r="F7" s="76"/>
      <c r="H7" s="88" t="s">
        <v>211</v>
      </c>
      <c r="I7" s="89"/>
      <c r="J7" s="90" t="s">
        <v>212</v>
      </c>
      <c r="K7" s="76"/>
      <c r="L7" s="90" t="s">
        <v>213</v>
      </c>
      <c r="M7" s="76"/>
      <c r="N7" s="76"/>
      <c r="O7" s="76"/>
      <c r="P7" s="76"/>
      <c r="Q7" s="76"/>
      <c r="R7" s="76"/>
    </row>
    <row r="8" spans="1:28" s="74" customFormat="1" ht="13.5" customHeight="1">
      <c r="A8" s="81" t="s">
        <v>214</v>
      </c>
      <c r="C8" s="83" t="s">
        <v>207</v>
      </c>
      <c r="D8" s="91">
        <f>N9</f>
        <v>43.320600000000006</v>
      </c>
      <c r="E8" s="92" t="s">
        <v>215</v>
      </c>
      <c r="F8" s="76"/>
      <c r="G8" s="82"/>
      <c r="H8" s="93">
        <v>5.87</v>
      </c>
      <c r="I8" s="94" t="s">
        <v>216</v>
      </c>
      <c r="J8" s="93">
        <f>K5+K6</f>
        <v>7.3800000000000008</v>
      </c>
      <c r="K8" s="94" t="s">
        <v>216</v>
      </c>
      <c r="L8" s="95">
        <v>1</v>
      </c>
      <c r="M8" s="96" t="s">
        <v>217</v>
      </c>
      <c r="N8" s="97">
        <f>H8*J8*L8</f>
        <v>43.320600000000006</v>
      </c>
      <c r="O8" s="92" t="s">
        <v>215</v>
      </c>
      <c r="P8" s="76"/>
      <c r="Q8" s="76"/>
    </row>
    <row r="9" spans="1:28" s="74" customFormat="1" ht="13.5">
      <c r="A9" s="76"/>
      <c r="B9" s="76"/>
      <c r="C9" s="82"/>
      <c r="D9" s="83"/>
      <c r="E9" s="98"/>
      <c r="F9" s="98"/>
      <c r="G9" s="76"/>
      <c r="H9" s="76"/>
      <c r="I9" s="76"/>
      <c r="J9" s="76"/>
      <c r="L9" s="99" t="s">
        <v>218</v>
      </c>
      <c r="M9" s="96" t="s">
        <v>217</v>
      </c>
      <c r="N9" s="100">
        <f>SUM(N8:N8)</f>
        <v>43.320600000000006</v>
      </c>
      <c r="O9" s="92" t="s">
        <v>215</v>
      </c>
      <c r="P9" s="76"/>
      <c r="Q9" s="76"/>
      <c r="R9" s="76"/>
    </row>
    <row r="10" spans="1:28" s="74" customFormat="1" ht="13.5" customHeight="1">
      <c r="A10" s="81"/>
      <c r="C10" s="83"/>
      <c r="D10" s="101"/>
      <c r="E10" s="92"/>
      <c r="F10" s="76"/>
      <c r="G10" s="82"/>
      <c r="H10" s="93"/>
      <c r="I10" s="94"/>
      <c r="J10" s="95"/>
      <c r="K10" s="94"/>
      <c r="M10" s="96"/>
      <c r="N10" s="97"/>
      <c r="O10" s="92"/>
      <c r="P10" s="76"/>
      <c r="Q10" s="76"/>
    </row>
    <row r="11" spans="1:28" s="74" customFormat="1" ht="13.5" customHeight="1">
      <c r="A11" s="76"/>
      <c r="B11" s="82"/>
      <c r="C11" s="83"/>
      <c r="K11" s="76"/>
      <c r="L11" s="76"/>
      <c r="M11" s="76"/>
      <c r="N11" s="76"/>
      <c r="O11" s="76"/>
      <c r="P11" s="76"/>
      <c r="Q11" s="76"/>
    </row>
    <row r="12" spans="1:28" s="74" customFormat="1" ht="13.5">
      <c r="A12" s="82" t="s">
        <v>219</v>
      </c>
      <c r="B12" s="83" t="s">
        <v>75</v>
      </c>
      <c r="C12" s="76" t="s">
        <v>220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1:28" s="74" customFormat="1" ht="13.5">
      <c r="A13" s="76"/>
      <c r="B13" s="83" t="s">
        <v>75</v>
      </c>
      <c r="C13" s="98">
        <f>D6</f>
        <v>0.7</v>
      </c>
      <c r="D13" s="83" t="s">
        <v>221</v>
      </c>
      <c r="E13" s="102">
        <f>D7</f>
        <v>0.5</v>
      </c>
      <c r="F13" s="83" t="s">
        <v>221</v>
      </c>
      <c r="G13" s="101">
        <f>D8</f>
        <v>43.320600000000006</v>
      </c>
      <c r="H13" s="83" t="s">
        <v>75</v>
      </c>
      <c r="I13" s="103">
        <f>C13*E13*G13</f>
        <v>15.162210000000002</v>
      </c>
      <c r="J13" s="81" t="s">
        <v>222</v>
      </c>
      <c r="K13" s="76"/>
      <c r="N13" s="96"/>
      <c r="O13" s="104"/>
      <c r="P13" s="81"/>
      <c r="Q13" s="76"/>
      <c r="R13" s="76"/>
      <c r="S13" s="76"/>
      <c r="T13" s="76"/>
      <c r="U13" s="83"/>
      <c r="X13" s="105"/>
      <c r="Y13" s="92"/>
      <c r="Z13" s="76"/>
      <c r="AA13" s="76"/>
      <c r="AB13" s="76"/>
    </row>
    <row r="14" spans="1:28" s="74" customFormat="1" ht="13.5">
      <c r="A14" s="76"/>
      <c r="B14" s="83"/>
      <c r="C14" s="76"/>
      <c r="D14" s="98"/>
      <c r="E14" s="98"/>
      <c r="F14" s="83"/>
      <c r="G14" s="102"/>
      <c r="H14" s="102"/>
      <c r="I14" s="83"/>
      <c r="J14" s="98"/>
      <c r="K14" s="98"/>
      <c r="L14" s="83"/>
      <c r="M14" s="106"/>
      <c r="N14" s="106"/>
      <c r="O14" s="83"/>
      <c r="P14" s="76"/>
      <c r="Q14" s="76"/>
      <c r="R14" s="76"/>
      <c r="S14" s="76"/>
      <c r="T14" s="76"/>
      <c r="U14" s="83"/>
      <c r="V14" s="96"/>
      <c r="W14" s="107"/>
      <c r="X14" s="107"/>
      <c r="Y14" s="92"/>
      <c r="Z14" s="76"/>
      <c r="AA14" s="76"/>
      <c r="AB14" s="76"/>
    </row>
    <row r="15" spans="1:28" s="74" customFormat="1" ht="13.5" customHeight="1">
      <c r="A15" s="76" t="s">
        <v>223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81"/>
      <c r="O15" s="76"/>
      <c r="P15" s="82"/>
      <c r="Q15" s="83"/>
      <c r="R15" s="84"/>
      <c r="S15" s="84"/>
      <c r="T15" s="76"/>
      <c r="U15" s="76"/>
      <c r="V15" s="81"/>
      <c r="W15" s="81"/>
      <c r="X15" s="81"/>
      <c r="Y15" s="81"/>
      <c r="Z15" s="81"/>
      <c r="AA15" s="76"/>
      <c r="AB15" s="76"/>
    </row>
    <row r="16" spans="1:28" s="74" customFormat="1" ht="13.5" customHeight="1">
      <c r="A16" s="76"/>
      <c r="B16" s="76"/>
      <c r="C16" s="76"/>
      <c r="D16" s="76"/>
      <c r="E16" s="76"/>
      <c r="F16" s="76"/>
      <c r="G16" s="76"/>
      <c r="I16" s="76"/>
      <c r="J16" s="76"/>
      <c r="K16" s="76"/>
      <c r="L16" s="76"/>
      <c r="M16" s="76"/>
      <c r="N16" s="81"/>
      <c r="O16" s="76"/>
      <c r="P16" s="82"/>
      <c r="Q16" s="83"/>
      <c r="R16" s="84"/>
      <c r="S16" s="84"/>
      <c r="T16" s="76"/>
      <c r="U16" s="76"/>
      <c r="V16" s="81"/>
      <c r="W16" s="81"/>
      <c r="X16" s="81"/>
      <c r="Y16" s="81"/>
      <c r="Z16" s="81"/>
      <c r="AA16" s="76"/>
      <c r="AB16" s="76"/>
    </row>
    <row r="17" spans="1:88" s="74" customFormat="1" ht="13.5" customHeight="1">
      <c r="A17" s="76" t="s">
        <v>224</v>
      </c>
      <c r="B17" s="76"/>
      <c r="C17" s="76"/>
      <c r="D17" s="83" t="s">
        <v>207</v>
      </c>
      <c r="E17" s="108">
        <f>J8</f>
        <v>7.3800000000000008</v>
      </c>
      <c r="F17" s="76" t="s">
        <v>31</v>
      </c>
      <c r="G17" s="76"/>
      <c r="H17" s="76"/>
      <c r="I17" s="76"/>
      <c r="J17" s="76"/>
      <c r="K17" s="76"/>
      <c r="L17" s="76"/>
      <c r="M17" s="76"/>
      <c r="N17" s="81"/>
      <c r="O17" s="76"/>
      <c r="P17" s="82"/>
      <c r="Q17" s="83"/>
      <c r="R17" s="84"/>
      <c r="S17" s="84"/>
      <c r="T17" s="76"/>
      <c r="U17" s="76"/>
      <c r="V17" s="81"/>
      <c r="W17" s="81"/>
      <c r="X17" s="81"/>
      <c r="Y17" s="81"/>
      <c r="Z17" s="81"/>
      <c r="AA17" s="76"/>
      <c r="AB17" s="76"/>
    </row>
    <row r="18" spans="1:88" s="74" customFormat="1" ht="13.5" customHeight="1">
      <c r="A18" s="76" t="s">
        <v>225</v>
      </c>
      <c r="B18" s="76"/>
      <c r="C18" s="76"/>
      <c r="D18" s="83" t="s">
        <v>207</v>
      </c>
      <c r="E18" s="109">
        <v>46</v>
      </c>
      <c r="F18" s="76" t="s">
        <v>226</v>
      </c>
      <c r="G18" s="76"/>
      <c r="H18" s="76"/>
      <c r="I18" s="76"/>
      <c r="J18" s="76"/>
      <c r="K18" s="76"/>
      <c r="L18" s="76"/>
      <c r="M18" s="76"/>
      <c r="N18" s="81"/>
      <c r="O18" s="76"/>
      <c r="P18" s="82"/>
      <c r="Q18" s="83"/>
      <c r="R18" s="84"/>
      <c r="S18" s="84"/>
      <c r="T18" s="76"/>
      <c r="U18" s="76"/>
      <c r="V18" s="81"/>
      <c r="W18" s="81"/>
      <c r="X18" s="81"/>
      <c r="Y18" s="81"/>
      <c r="Z18" s="81"/>
      <c r="AA18" s="76"/>
      <c r="AB18" s="76"/>
    </row>
    <row r="19" spans="1:88" s="74" customFormat="1" ht="13.5" customHeight="1">
      <c r="A19" s="76" t="s">
        <v>227</v>
      </c>
      <c r="B19" s="76"/>
      <c r="C19" s="76"/>
      <c r="D19" s="83" t="s">
        <v>207</v>
      </c>
      <c r="E19" s="109" t="s">
        <v>228</v>
      </c>
      <c r="F19" s="76"/>
      <c r="G19" s="76"/>
      <c r="H19" s="76"/>
      <c r="I19" s="76"/>
      <c r="J19" s="76"/>
      <c r="K19" s="76"/>
      <c r="L19" s="76"/>
      <c r="M19" s="76"/>
      <c r="N19" s="81"/>
      <c r="O19" s="76"/>
      <c r="P19" s="82"/>
      <c r="Q19" s="83"/>
      <c r="R19" s="84"/>
      <c r="S19" s="84"/>
      <c r="T19" s="76"/>
      <c r="U19" s="76"/>
      <c r="V19" s="81"/>
      <c r="W19" s="81"/>
      <c r="X19" s="81"/>
      <c r="Y19" s="81"/>
      <c r="Z19" s="81"/>
      <c r="AA19" s="76"/>
      <c r="AB19" s="76"/>
    </row>
    <row r="20" spans="1:88" s="74" customFormat="1" ht="13.5" customHeight="1">
      <c r="A20" s="76" t="s">
        <v>229</v>
      </c>
      <c r="B20" s="76"/>
      <c r="C20" s="76"/>
      <c r="D20" s="76"/>
      <c r="E20" s="76"/>
      <c r="F20" s="82" t="s">
        <v>230</v>
      </c>
      <c r="G20" s="83" t="s">
        <v>207</v>
      </c>
      <c r="H20" s="109">
        <v>5</v>
      </c>
      <c r="I20" s="83" t="s">
        <v>231</v>
      </c>
      <c r="J20" s="83" t="s">
        <v>207</v>
      </c>
      <c r="K20" s="109">
        <v>450</v>
      </c>
      <c r="L20" s="83" t="s">
        <v>232</v>
      </c>
      <c r="M20" s="83" t="s">
        <v>207</v>
      </c>
      <c r="N20" s="109">
        <v>0.2</v>
      </c>
      <c r="O20" s="83"/>
      <c r="P20" s="83"/>
      <c r="Q20" s="83"/>
      <c r="R20" s="84"/>
      <c r="S20" s="84"/>
      <c r="T20" s="76"/>
      <c r="U20" s="76"/>
      <c r="V20" s="81"/>
      <c r="W20" s="81"/>
      <c r="X20" s="81"/>
      <c r="Y20" s="81"/>
      <c r="Z20" s="81"/>
      <c r="AA20" s="76"/>
      <c r="AB20" s="76"/>
    </row>
    <row r="21" spans="1:88" s="74" customFormat="1" ht="16.5">
      <c r="A21" s="76" t="s">
        <v>233</v>
      </c>
      <c r="B21" s="76"/>
      <c r="C21" s="76"/>
      <c r="D21" s="76"/>
      <c r="E21" s="98"/>
      <c r="F21" s="98"/>
      <c r="G21" s="83" t="s">
        <v>207</v>
      </c>
      <c r="H21" s="110">
        <f>J21*(L21/N21)^P21</f>
        <v>0.69119473203126292</v>
      </c>
      <c r="I21" s="83" t="s">
        <v>75</v>
      </c>
      <c r="J21" s="83">
        <v>1.7</v>
      </c>
      <c r="K21" s="83" t="s">
        <v>234</v>
      </c>
      <c r="L21" s="98">
        <f>H20</f>
        <v>5</v>
      </c>
      <c r="M21" s="83" t="s">
        <v>144</v>
      </c>
      <c r="N21" s="83">
        <f>K20</f>
        <v>450</v>
      </c>
      <c r="O21" s="83" t="s">
        <v>235</v>
      </c>
      <c r="P21" s="83">
        <f>N20</f>
        <v>0.2</v>
      </c>
      <c r="Q21" s="76"/>
      <c r="R21" s="84" t="s">
        <v>236</v>
      </c>
      <c r="S21" s="111" t="s">
        <v>237</v>
      </c>
    </row>
    <row r="22" spans="1:88" s="74" customFormat="1" ht="16.5">
      <c r="A22" s="76" t="s">
        <v>238</v>
      </c>
      <c r="B22" s="76"/>
      <c r="C22" s="76"/>
      <c r="D22" s="83" t="s">
        <v>207</v>
      </c>
      <c r="E22" s="112">
        <v>2.5</v>
      </c>
      <c r="F22" s="98"/>
      <c r="G22" s="83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113"/>
      <c r="S22" s="111" t="s">
        <v>239</v>
      </c>
    </row>
    <row r="23" spans="1:88" s="74" customFormat="1" ht="13.5">
      <c r="A23" s="76" t="s">
        <v>240</v>
      </c>
      <c r="B23" s="76"/>
      <c r="C23" s="76"/>
      <c r="D23" s="76"/>
      <c r="E23" s="98"/>
      <c r="F23" s="98"/>
      <c r="G23" s="83" t="s">
        <v>207</v>
      </c>
      <c r="H23" s="112">
        <f>J23^2*M23</f>
        <v>1.1943753939694233</v>
      </c>
      <c r="I23" s="83" t="s">
        <v>75</v>
      </c>
      <c r="J23" s="83">
        <f>H21</f>
        <v>0.69119473203126292</v>
      </c>
      <c r="K23" s="83" t="s">
        <v>241</v>
      </c>
      <c r="L23" s="83" t="s">
        <v>221</v>
      </c>
      <c r="M23" s="83">
        <f>E22</f>
        <v>2.5</v>
      </c>
      <c r="N23" s="76"/>
      <c r="O23" s="76"/>
      <c r="P23" s="76"/>
      <c r="Q23" s="76"/>
      <c r="T23" s="111"/>
      <c r="U23" s="111"/>
      <c r="V23" s="111"/>
    </row>
    <row r="24" spans="1:88" s="74" customFormat="1" ht="13.5">
      <c r="A24" s="76" t="s">
        <v>242</v>
      </c>
      <c r="B24" s="76"/>
      <c r="C24" s="83" t="s">
        <v>207</v>
      </c>
      <c r="D24" s="112">
        <f>G24*I24*K24^2</f>
        <v>1516.3790001835798</v>
      </c>
      <c r="E24" s="76" t="s">
        <v>243</v>
      </c>
      <c r="F24" s="83" t="s">
        <v>75</v>
      </c>
      <c r="G24" s="95">
        <v>0.6</v>
      </c>
      <c r="H24" s="83" t="s">
        <v>221</v>
      </c>
      <c r="I24" s="76">
        <f>H23</f>
        <v>1.1943753939694233</v>
      </c>
      <c r="J24" s="83" t="s">
        <v>221</v>
      </c>
      <c r="K24" s="83">
        <f>E18</f>
        <v>46</v>
      </c>
      <c r="L24" s="83" t="s">
        <v>241</v>
      </c>
      <c r="M24" s="83"/>
      <c r="N24" s="76"/>
      <c r="O24" s="76"/>
      <c r="P24" s="76"/>
      <c r="Q24" s="76"/>
      <c r="T24" s="111"/>
      <c r="U24" s="111"/>
      <c r="V24" s="111"/>
    </row>
    <row r="25" spans="1:88" s="74" customFormat="1" ht="13.5">
      <c r="A25" s="76" t="s">
        <v>244</v>
      </c>
      <c r="B25" s="76"/>
      <c r="C25" s="83" t="s">
        <v>207</v>
      </c>
      <c r="D25" s="109">
        <v>1.2</v>
      </c>
      <c r="E25" s="76"/>
      <c r="F25" s="83"/>
      <c r="G25" s="95"/>
      <c r="H25" s="83"/>
      <c r="I25" s="76"/>
      <c r="J25" s="83"/>
      <c r="K25" s="83"/>
      <c r="L25" s="83"/>
      <c r="M25" s="83"/>
      <c r="N25" s="76"/>
      <c r="O25" s="76"/>
      <c r="P25" s="76"/>
      <c r="Q25" s="76"/>
      <c r="T25" s="111"/>
      <c r="U25" s="111"/>
      <c r="V25" s="111"/>
    </row>
    <row r="26" spans="1:88" s="74" customFormat="1" ht="13.5">
      <c r="A26" s="76"/>
      <c r="B26" s="76"/>
      <c r="C26" s="82"/>
      <c r="D26" s="83"/>
      <c r="E26" s="98"/>
      <c r="F26" s="98"/>
      <c r="G26" s="76"/>
      <c r="H26" s="76"/>
      <c r="J26" s="76"/>
      <c r="K26" s="99"/>
      <c r="L26" s="96"/>
      <c r="M26" s="105"/>
      <c r="N26" s="96"/>
      <c r="O26" s="76"/>
      <c r="P26" s="76"/>
      <c r="Q26" s="76"/>
      <c r="R26" s="76"/>
    </row>
    <row r="27" spans="1:88" s="74" customFormat="1" ht="13.5">
      <c r="A27" s="82" t="s">
        <v>245</v>
      </c>
      <c r="B27" s="83" t="s">
        <v>75</v>
      </c>
      <c r="C27" s="76" t="s">
        <v>246</v>
      </c>
      <c r="D27" s="76"/>
      <c r="E27" s="76"/>
      <c r="F27" s="76"/>
      <c r="G27" s="90" t="s">
        <v>212</v>
      </c>
      <c r="I27" s="90" t="s">
        <v>213</v>
      </c>
      <c r="O27" s="76"/>
      <c r="P27" s="76"/>
      <c r="Q27" s="76"/>
      <c r="R27" s="76"/>
    </row>
    <row r="28" spans="1:88" s="74" customFormat="1" ht="13.5">
      <c r="A28" s="76"/>
      <c r="B28" s="83" t="s">
        <v>75</v>
      </c>
      <c r="C28" s="98">
        <f>D24</f>
        <v>1516.3790001835798</v>
      </c>
      <c r="D28" s="83" t="s">
        <v>221</v>
      </c>
      <c r="E28" s="102">
        <f>D25</f>
        <v>1.2</v>
      </c>
      <c r="F28" s="83" t="s">
        <v>221</v>
      </c>
      <c r="G28" s="114">
        <f>E17</f>
        <v>7.3800000000000008</v>
      </c>
      <c r="H28" s="94" t="s">
        <v>216</v>
      </c>
      <c r="I28" s="115">
        <v>1</v>
      </c>
      <c r="J28" s="83" t="s">
        <v>144</v>
      </c>
      <c r="K28" s="116">
        <v>1000</v>
      </c>
      <c r="L28" s="83" t="s">
        <v>75</v>
      </c>
      <c r="M28" s="103">
        <f>C28*E28*G28*I28/K28</f>
        <v>13.429052425625786</v>
      </c>
      <c r="N28" s="81" t="s">
        <v>222</v>
      </c>
      <c r="O28" s="104"/>
      <c r="P28" s="81"/>
      <c r="Q28" s="76"/>
      <c r="R28" s="76"/>
      <c r="S28" s="76"/>
      <c r="T28" s="76"/>
      <c r="U28" s="83"/>
      <c r="X28" s="105"/>
      <c r="Y28" s="92"/>
      <c r="Z28" s="76"/>
      <c r="AA28" s="76"/>
      <c r="AB28" s="76"/>
    </row>
    <row r="29" spans="1:88" s="74" customFormat="1" ht="13.5">
      <c r="A29" s="76"/>
      <c r="B29" s="76"/>
      <c r="C29" s="82"/>
      <c r="D29" s="83"/>
      <c r="E29" s="98"/>
      <c r="F29" s="98"/>
      <c r="G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88">
      <c r="A30" s="76" t="s">
        <v>247</v>
      </c>
      <c r="B30" s="78"/>
      <c r="C30" s="78"/>
      <c r="D30" s="117" t="s">
        <v>248</v>
      </c>
      <c r="E30" s="78" t="s">
        <v>249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80"/>
      <c r="Y30" s="118"/>
      <c r="Z30" s="118"/>
      <c r="AA30" s="118"/>
      <c r="AB30" s="139"/>
      <c r="AC30" s="139"/>
      <c r="AD30" s="140"/>
      <c r="AE30" s="140"/>
      <c r="AF30" s="118"/>
      <c r="AG30" s="120"/>
      <c r="AH30" s="118"/>
      <c r="AI30" s="119"/>
      <c r="AJ30" s="118"/>
      <c r="AK30" s="120"/>
      <c r="AL30" s="118"/>
      <c r="AM30" s="118"/>
      <c r="AN30" s="118"/>
      <c r="AO30" s="141"/>
      <c r="AP30" s="141"/>
      <c r="AQ30" s="141"/>
      <c r="AR30" s="121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</row>
    <row r="31" spans="1:88">
      <c r="A31" s="78"/>
      <c r="B31" s="78"/>
      <c r="C31" s="123"/>
      <c r="D31" s="124"/>
      <c r="E31" s="125" t="s">
        <v>219</v>
      </c>
      <c r="F31" s="142">
        <f>I13</f>
        <v>15.162210000000002</v>
      </c>
      <c r="G31" s="142"/>
      <c r="H31" s="81" t="s">
        <v>222</v>
      </c>
      <c r="I31" s="126"/>
      <c r="J31" s="143">
        <f>MAX(F31:G32)</f>
        <v>15.162210000000002</v>
      </c>
      <c r="K31" s="144"/>
      <c r="L31" s="144"/>
      <c r="M31" s="145"/>
      <c r="N31" s="127"/>
      <c r="O31" s="128"/>
      <c r="P31" s="129"/>
      <c r="Q31" s="129"/>
      <c r="R31" s="129"/>
      <c r="S31" s="129"/>
      <c r="T31" s="129"/>
      <c r="U31" s="78"/>
      <c r="V31" s="78"/>
      <c r="W31" s="78"/>
      <c r="X31" s="80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</row>
    <row r="32" spans="1:88">
      <c r="A32" s="78"/>
      <c r="B32" s="78"/>
      <c r="C32" s="123"/>
      <c r="D32" s="124"/>
      <c r="E32" s="125" t="s">
        <v>245</v>
      </c>
      <c r="F32" s="142">
        <f>M28</f>
        <v>13.429052425625786</v>
      </c>
      <c r="G32" s="142"/>
      <c r="H32" s="81" t="s">
        <v>222</v>
      </c>
      <c r="I32" s="126"/>
      <c r="J32" s="146"/>
      <c r="K32" s="147"/>
      <c r="L32" s="147"/>
      <c r="M32" s="148"/>
      <c r="N32" s="127"/>
      <c r="O32" s="128"/>
      <c r="P32" s="129"/>
      <c r="Q32" s="129"/>
      <c r="R32" s="129"/>
      <c r="S32" s="129"/>
      <c r="T32" s="129"/>
      <c r="U32" s="78"/>
      <c r="V32" s="78"/>
      <c r="W32" s="78"/>
      <c r="X32" s="80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</row>
    <row r="33" spans="1:28" s="74" customFormat="1" ht="13.5">
      <c r="A33" s="82"/>
      <c r="B33" s="83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</row>
    <row r="34" spans="1:28" s="74" customFormat="1" ht="13.5">
      <c r="A34" s="76" t="s">
        <v>250</v>
      </c>
      <c r="B34" s="83"/>
      <c r="C34" s="98"/>
      <c r="D34" s="83"/>
      <c r="E34" s="102"/>
      <c r="F34" s="83"/>
      <c r="G34" s="98"/>
      <c r="H34" s="83"/>
      <c r="I34" s="106"/>
      <c r="J34" s="81"/>
      <c r="K34" s="76"/>
      <c r="L34" s="96"/>
      <c r="M34" s="104"/>
      <c r="N34" s="83"/>
      <c r="O34" s="76"/>
      <c r="P34" s="76"/>
      <c r="Q34" s="76"/>
      <c r="R34" s="76"/>
      <c r="S34" s="76"/>
      <c r="T34" s="76"/>
      <c r="U34" s="83"/>
      <c r="X34" s="105"/>
      <c r="Y34" s="92"/>
      <c r="Z34" s="76"/>
      <c r="AA34" s="76"/>
      <c r="AB34" s="76"/>
    </row>
    <row r="35" spans="1:28" s="74" customFormat="1" ht="14.25">
      <c r="A35" s="82" t="s">
        <v>178</v>
      </c>
      <c r="B35" s="83" t="s">
        <v>75</v>
      </c>
      <c r="C35" s="76" t="s">
        <v>251</v>
      </c>
      <c r="D35" s="98"/>
      <c r="E35" s="98"/>
      <c r="F35" s="83"/>
      <c r="G35" s="102"/>
      <c r="H35" s="102"/>
      <c r="I35" s="130" t="s">
        <v>252</v>
      </c>
      <c r="J35" s="98"/>
      <c r="K35" s="98"/>
      <c r="L35" s="83"/>
      <c r="M35" s="106"/>
      <c r="N35" s="106"/>
      <c r="O35" s="83"/>
      <c r="P35" s="76"/>
      <c r="Q35" s="76"/>
      <c r="R35" s="76"/>
      <c r="S35" s="76"/>
      <c r="T35" s="76"/>
      <c r="U35" s="83"/>
      <c r="V35" s="96"/>
      <c r="W35" s="107"/>
      <c r="X35" s="107"/>
      <c r="Y35" s="92"/>
      <c r="Z35" s="76"/>
      <c r="AA35" s="76"/>
      <c r="AB35" s="76"/>
    </row>
    <row r="36" spans="1:28" s="74" customFormat="1" ht="13.5">
      <c r="A36" s="76"/>
      <c r="B36" s="83" t="s">
        <v>75</v>
      </c>
      <c r="C36" s="83">
        <v>1</v>
      </c>
      <c r="D36" s="83" t="s">
        <v>144</v>
      </c>
      <c r="E36" s="83">
        <v>8</v>
      </c>
      <c r="F36" s="83" t="s">
        <v>221</v>
      </c>
      <c r="G36" s="131">
        <f>J31</f>
        <v>15.162210000000002</v>
      </c>
      <c r="H36" s="83" t="s">
        <v>221</v>
      </c>
      <c r="I36" s="132">
        <v>6.25</v>
      </c>
      <c r="J36" s="83" t="s">
        <v>253</v>
      </c>
      <c r="K36" s="83" t="s">
        <v>75</v>
      </c>
      <c r="L36" s="83">
        <f>C36/E36*G36*I36^2</f>
        <v>74.034228515625003</v>
      </c>
      <c r="M36" s="83" t="s">
        <v>254</v>
      </c>
      <c r="N36" s="106"/>
      <c r="O36" s="96" t="s">
        <v>255</v>
      </c>
      <c r="P36" s="133">
        <f>ROUNDUP(L36,0)</f>
        <v>75</v>
      </c>
      <c r="Q36" s="83" t="s">
        <v>254</v>
      </c>
      <c r="R36" s="76"/>
      <c r="S36" s="76"/>
      <c r="T36" s="76"/>
      <c r="U36" s="83"/>
      <c r="V36" s="96"/>
      <c r="W36" s="107"/>
      <c r="X36" s="107"/>
      <c r="Y36" s="92"/>
      <c r="Z36" s="76"/>
      <c r="AA36" s="76"/>
      <c r="AB36" s="76"/>
    </row>
    <row r="37" spans="1:28" s="74" customFormat="1" ht="13.5">
      <c r="A37" s="76"/>
      <c r="B37" s="76"/>
      <c r="C37" s="83"/>
      <c r="D37" s="76"/>
      <c r="E37" s="98"/>
      <c r="F37" s="98"/>
      <c r="G37" s="83"/>
      <c r="H37" s="102"/>
      <c r="I37" s="102"/>
      <c r="J37" s="83"/>
      <c r="K37" s="98"/>
      <c r="L37" s="98"/>
      <c r="M37" s="83"/>
      <c r="N37" s="106"/>
      <c r="O37" s="106"/>
      <c r="P37" s="83"/>
      <c r="Q37" s="76"/>
      <c r="R37" s="76"/>
      <c r="S37" s="76"/>
      <c r="T37" s="76"/>
      <c r="U37" s="83"/>
      <c r="V37" s="96"/>
      <c r="W37" s="107"/>
      <c r="X37" s="107"/>
      <c r="Y37" s="92"/>
      <c r="Z37" s="76"/>
      <c r="AA37" s="76"/>
      <c r="AB37" s="76"/>
    </row>
    <row r="38" spans="1:28">
      <c r="A38" s="76" t="s">
        <v>256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8"/>
      <c r="S38" s="78"/>
    </row>
    <row r="39" spans="1:28">
      <c r="A39" s="76"/>
      <c r="B39" s="76"/>
      <c r="C39" s="76"/>
      <c r="D39" s="76"/>
      <c r="E39" s="82" t="s">
        <v>257</v>
      </c>
      <c r="F39" s="134">
        <v>21</v>
      </c>
      <c r="G39" s="76" t="s">
        <v>258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8"/>
      <c r="S39" s="78"/>
    </row>
    <row r="40" spans="1:28">
      <c r="A40" s="76"/>
      <c r="B40" s="76"/>
      <c r="C40" s="76"/>
      <c r="D40" s="76"/>
      <c r="E40" s="82" t="s">
        <v>259</v>
      </c>
      <c r="F40" s="134">
        <v>295</v>
      </c>
      <c r="G40" s="76" t="s">
        <v>258</v>
      </c>
      <c r="H40" s="76"/>
      <c r="I40" s="76"/>
      <c r="J40" s="76"/>
      <c r="K40" s="76"/>
      <c r="L40" s="76"/>
      <c r="M40" s="82"/>
      <c r="N40" s="76"/>
      <c r="O40" s="76"/>
      <c r="P40" s="76"/>
      <c r="Q40" s="76"/>
      <c r="S40" s="78"/>
      <c r="U40" s="79" t="s">
        <v>260</v>
      </c>
    </row>
    <row r="41" spans="1:28">
      <c r="A41" s="76"/>
      <c r="B41" s="76"/>
      <c r="C41" s="76"/>
      <c r="D41" s="76"/>
      <c r="E41" s="82" t="s">
        <v>261</v>
      </c>
      <c r="F41" s="134">
        <v>150</v>
      </c>
      <c r="G41" s="76" t="s">
        <v>157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8"/>
      <c r="S41" s="78"/>
    </row>
    <row r="42" spans="1:28">
      <c r="A42" s="76"/>
      <c r="B42" s="76"/>
      <c r="C42" s="76"/>
      <c r="D42" s="76"/>
      <c r="E42" s="82" t="s">
        <v>262</v>
      </c>
      <c r="F42" s="112">
        <f>H42-J42</f>
        <v>80</v>
      </c>
      <c r="G42" s="76" t="s">
        <v>157</v>
      </c>
      <c r="H42" s="135">
        <f>F41</f>
        <v>150</v>
      </c>
      <c r="I42" s="83" t="s">
        <v>77</v>
      </c>
      <c r="J42" s="84">
        <v>70</v>
      </c>
      <c r="K42" s="76" t="s">
        <v>160</v>
      </c>
      <c r="L42" s="76"/>
      <c r="M42" s="76"/>
      <c r="N42" s="76"/>
      <c r="O42" s="76"/>
      <c r="P42" s="76"/>
      <c r="Q42" s="76"/>
      <c r="R42" s="78"/>
      <c r="S42" s="78"/>
    </row>
    <row r="43" spans="1:28">
      <c r="A43" s="76"/>
      <c r="B43" s="76"/>
      <c r="C43" s="76"/>
      <c r="D43" s="76"/>
      <c r="E43" s="82" t="s">
        <v>263</v>
      </c>
      <c r="F43" s="112">
        <f>F42*7/8</f>
        <v>70</v>
      </c>
      <c r="G43" s="76" t="s">
        <v>157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8"/>
      <c r="S43" s="78"/>
    </row>
    <row r="44" spans="1:28">
      <c r="A44" s="76"/>
      <c r="B44" s="76"/>
      <c r="C44" s="76"/>
      <c r="D44" s="76"/>
      <c r="E44" s="82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8"/>
      <c r="S44" s="78"/>
    </row>
    <row r="45" spans="1:28">
      <c r="A45" s="76" t="s">
        <v>264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8"/>
      <c r="S45" s="78"/>
    </row>
    <row r="46" spans="1:28">
      <c r="A46" s="76"/>
      <c r="B46" s="82" t="s">
        <v>265</v>
      </c>
      <c r="C46" s="81" t="s">
        <v>266</v>
      </c>
      <c r="D46" s="83"/>
      <c r="E46" s="83"/>
      <c r="F46" s="83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8"/>
      <c r="S46" s="78"/>
    </row>
    <row r="47" spans="1:28">
      <c r="A47" s="76"/>
      <c r="B47" s="82" t="s">
        <v>75</v>
      </c>
      <c r="C47" s="136">
        <f>P36</f>
        <v>75</v>
      </c>
      <c r="D47" s="83" t="s">
        <v>221</v>
      </c>
      <c r="E47" s="83">
        <v>10</v>
      </c>
      <c r="F47" s="83" t="s">
        <v>267</v>
      </c>
      <c r="G47" s="83" t="s">
        <v>144</v>
      </c>
      <c r="H47" s="83">
        <f>F40</f>
        <v>295</v>
      </c>
      <c r="I47" s="83" t="s">
        <v>221</v>
      </c>
      <c r="J47" s="83">
        <f>F43</f>
        <v>70</v>
      </c>
      <c r="K47" s="83" t="s">
        <v>75</v>
      </c>
      <c r="L47" s="149">
        <f>(C47*10^6)/(H47*J47)</f>
        <v>3631.9612590799034</v>
      </c>
      <c r="M47" s="150"/>
      <c r="N47" s="76" t="s">
        <v>268</v>
      </c>
      <c r="O47" s="76"/>
      <c r="P47" s="76"/>
      <c r="Q47" s="76"/>
      <c r="R47" s="78"/>
      <c r="S47" s="78"/>
    </row>
    <row r="48" spans="1:28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8"/>
      <c r="S48" s="78"/>
      <c r="U48" s="137" t="s">
        <v>269</v>
      </c>
      <c r="V48" s="137" t="s">
        <v>270</v>
      </c>
    </row>
    <row r="49" spans="1:2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8"/>
      <c r="S49" s="78"/>
      <c r="U49" s="122"/>
      <c r="V49" s="137" t="s">
        <v>271</v>
      </c>
    </row>
    <row r="50" spans="1:22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8"/>
      <c r="S50" s="78"/>
      <c r="U50" s="122"/>
      <c r="V50" s="137" t="s">
        <v>272</v>
      </c>
    </row>
    <row r="51" spans="1:22">
      <c r="A51" s="76"/>
      <c r="B51" s="82" t="s">
        <v>273</v>
      </c>
      <c r="C51" s="151">
        <v>13</v>
      </c>
      <c r="D51" s="152"/>
      <c r="E51" s="151">
        <v>127</v>
      </c>
      <c r="F51" s="152"/>
      <c r="G51" s="76" t="s">
        <v>268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8"/>
      <c r="S51" s="78"/>
      <c r="V51" s="137" t="s">
        <v>274</v>
      </c>
    </row>
    <row r="52" spans="1:2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8"/>
      <c r="S52" s="78"/>
      <c r="U52" s="122"/>
      <c r="V52" s="137" t="s">
        <v>275</v>
      </c>
    </row>
    <row r="53" spans="1:22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8"/>
      <c r="S53" s="78"/>
      <c r="U53" s="122"/>
      <c r="V53" s="137"/>
    </row>
    <row r="54" spans="1:22">
      <c r="A54" s="76"/>
      <c r="B54" s="82" t="s">
        <v>276</v>
      </c>
      <c r="C54" s="76" t="s">
        <v>277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8"/>
      <c r="S54" s="78"/>
      <c r="V54" s="137" t="s">
        <v>278</v>
      </c>
    </row>
    <row r="55" spans="1:22">
      <c r="A55" s="76"/>
      <c r="B55" s="82" t="s">
        <v>75</v>
      </c>
      <c r="C55" s="153">
        <f>E51</f>
        <v>127</v>
      </c>
      <c r="D55" s="154"/>
      <c r="E55" s="83" t="s">
        <v>221</v>
      </c>
      <c r="F55" s="153">
        <v>1000</v>
      </c>
      <c r="G55" s="154"/>
      <c r="H55" s="83" t="s">
        <v>144</v>
      </c>
      <c r="I55" s="149">
        <f>L47</f>
        <v>3631.9612590799034</v>
      </c>
      <c r="J55" s="150"/>
      <c r="K55" s="83" t="s">
        <v>75</v>
      </c>
      <c r="L55" s="149">
        <f>(C55*F55)/I55</f>
        <v>34.967333333333329</v>
      </c>
      <c r="M55" s="150"/>
      <c r="N55" s="76" t="s">
        <v>157</v>
      </c>
      <c r="O55" s="76"/>
      <c r="P55" s="76"/>
      <c r="Q55" s="76"/>
      <c r="R55" s="78"/>
      <c r="S55" s="78"/>
      <c r="V55" s="137" t="s">
        <v>279</v>
      </c>
    </row>
    <row r="56" spans="1:22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8"/>
      <c r="S56" s="78"/>
      <c r="U56" s="137">
        <v>10</v>
      </c>
      <c r="V56" s="137">
        <v>71</v>
      </c>
    </row>
    <row r="57" spans="1:22">
      <c r="A57" s="76"/>
      <c r="B57" s="76"/>
      <c r="C57" s="76"/>
      <c r="D57" s="76"/>
      <c r="E57" s="76"/>
      <c r="F57" s="76"/>
      <c r="G57" s="155" t="s">
        <v>280</v>
      </c>
      <c r="H57" s="157" t="s">
        <v>281</v>
      </c>
      <c r="I57" s="159">
        <v>13</v>
      </c>
      <c r="J57" s="159"/>
      <c r="K57" s="157" t="s">
        <v>159</v>
      </c>
      <c r="L57" s="159" t="s">
        <v>282</v>
      </c>
      <c r="M57" s="161"/>
      <c r="N57" s="76"/>
      <c r="O57" s="76"/>
      <c r="P57" s="76"/>
      <c r="Q57" s="76"/>
      <c r="R57" s="78"/>
      <c r="S57" s="78"/>
      <c r="U57" s="137">
        <v>13</v>
      </c>
      <c r="V57" s="137">
        <v>127</v>
      </c>
    </row>
    <row r="58" spans="1:22">
      <c r="A58" s="76"/>
      <c r="B58" s="76"/>
      <c r="C58" s="76"/>
      <c r="D58" s="76"/>
      <c r="E58" s="76"/>
      <c r="F58" s="76"/>
      <c r="G58" s="156"/>
      <c r="H58" s="158"/>
      <c r="I58" s="160"/>
      <c r="J58" s="160"/>
      <c r="K58" s="158"/>
      <c r="L58" s="160"/>
      <c r="M58" s="162"/>
      <c r="N58" s="76" t="s">
        <v>283</v>
      </c>
      <c r="O58" s="76"/>
      <c r="P58" s="76"/>
      <c r="Q58" s="76"/>
      <c r="R58" s="78"/>
      <c r="S58" s="78"/>
      <c r="U58" s="137" t="s">
        <v>284</v>
      </c>
      <c r="V58" s="137">
        <v>99</v>
      </c>
    </row>
    <row r="59" spans="1:2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</sheetData>
  <mergeCells count="19">
    <mergeCell ref="G57:G58"/>
    <mergeCell ref="H57:H58"/>
    <mergeCell ref="I57:J58"/>
    <mergeCell ref="K57:K58"/>
    <mergeCell ref="L57:M58"/>
    <mergeCell ref="L47:M47"/>
    <mergeCell ref="C51:D51"/>
    <mergeCell ref="E51:F51"/>
    <mergeCell ref="C55:D55"/>
    <mergeCell ref="F55:G55"/>
    <mergeCell ref="I55:J55"/>
    <mergeCell ref="L55:M55"/>
    <mergeCell ref="D1:N1"/>
    <mergeCell ref="AB30:AC30"/>
    <mergeCell ref="AD30:AE30"/>
    <mergeCell ref="AO30:AQ30"/>
    <mergeCell ref="F31:G31"/>
    <mergeCell ref="J31:M32"/>
    <mergeCell ref="F32:G32"/>
  </mergeCells>
  <phoneticPr fontId="2"/>
  <dataValidations count="3">
    <dataValidation type="list" allowBlank="1" showInputMessage="1" showErrorMessage="1" sqref="C51:D51 I57:J58" xr:uid="{943EE6A4-1358-492B-B7DC-37D0C110F60C}">
      <formula1>$U$56:$U$58</formula1>
    </dataValidation>
    <dataValidation type="list" allowBlank="1" showInputMessage="1" showErrorMessage="1" sqref="E51:F51" xr:uid="{16FFCDB7-F0C9-4C00-BF26-5C2DDE2999A1}">
      <formula1>$V$56:$V$58</formula1>
    </dataValidation>
    <dataValidation type="list" allowBlank="1" showInputMessage="1" showErrorMessage="1" sqref="L57:M58" xr:uid="{401756C0-1BDC-4047-8E12-8CE7E0421CB9}">
      <formula1>$V$48:$V$55</formula1>
    </dataValidation>
  </dataValidations>
  <pageMargins left="1.1811023622047245" right="0.78740157480314965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A4CD-2C20-4080-B3C1-3513D0624EA9}">
  <sheetPr>
    <tabColor rgb="FFFF0000"/>
  </sheetPr>
  <dimension ref="A1:CJ59"/>
  <sheetViews>
    <sheetView view="pageBreakPreview" zoomScaleNormal="100" zoomScaleSheetLayoutView="100" workbookViewId="0">
      <selection activeCell="J25" sqref="J25:J26"/>
    </sheetView>
  </sheetViews>
  <sheetFormatPr defaultRowHeight="18.75"/>
  <cols>
    <col min="1" max="19" width="4.625" style="79" customWidth="1"/>
    <col min="20" max="16384" width="9" style="79"/>
  </cols>
  <sheetData>
    <row r="1" spans="1:28" s="74" customFormat="1" ht="27" customHeight="1">
      <c r="D1" s="138" t="s">
        <v>285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8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 t="s">
        <v>201</v>
      </c>
      <c r="S2" s="78"/>
    </row>
    <row r="3" spans="1:28" s="74" customFormat="1" ht="13.5" customHeight="1">
      <c r="A3" s="80" t="s">
        <v>202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81"/>
      <c r="O3" s="76"/>
      <c r="P3" s="76"/>
      <c r="Q3" s="76"/>
      <c r="R3" s="76"/>
      <c r="S3" s="76"/>
      <c r="T3" s="76"/>
      <c r="U3" s="76"/>
      <c r="V3" s="76"/>
      <c r="W3" s="81"/>
      <c r="X3" s="81"/>
      <c r="Y3" s="81"/>
      <c r="Z3" s="81"/>
      <c r="AA3" s="76"/>
      <c r="AB3" s="76"/>
    </row>
    <row r="4" spans="1:28" s="74" customFormat="1" ht="13.5" customHeight="1">
      <c r="A4" s="76"/>
      <c r="B4" s="76"/>
      <c r="C4" s="76"/>
      <c r="D4" s="76"/>
      <c r="E4" s="76"/>
      <c r="F4" s="76"/>
      <c r="G4" s="76"/>
      <c r="H4" s="76"/>
      <c r="I4" s="76"/>
      <c r="J4" s="76" t="s">
        <v>203</v>
      </c>
      <c r="K4" s="76"/>
      <c r="L4" s="76"/>
      <c r="M4" s="76"/>
      <c r="N4" s="81"/>
      <c r="O4" s="76"/>
      <c r="P4" s="76"/>
      <c r="Q4" s="76"/>
      <c r="R4" s="76"/>
      <c r="S4" s="76"/>
      <c r="T4" s="76"/>
      <c r="U4" s="76"/>
      <c r="V4" s="76"/>
      <c r="W4" s="81"/>
      <c r="X4" s="81"/>
      <c r="Y4" s="81"/>
      <c r="Z4" s="81"/>
      <c r="AA4" s="76"/>
      <c r="AB4" s="76"/>
    </row>
    <row r="5" spans="1:28" s="74" customFormat="1" ht="13.5" customHeight="1">
      <c r="A5" s="76" t="s">
        <v>204</v>
      </c>
      <c r="B5" s="76"/>
      <c r="C5" s="76"/>
      <c r="D5" s="76"/>
      <c r="E5" s="76"/>
      <c r="F5" s="76"/>
      <c r="G5" s="76"/>
      <c r="H5" s="76"/>
      <c r="I5" s="76"/>
      <c r="J5" s="76" t="s">
        <v>205</v>
      </c>
      <c r="K5" s="76">
        <v>3.25</v>
      </c>
      <c r="L5" s="76"/>
      <c r="M5" s="76"/>
      <c r="N5" s="81"/>
      <c r="O5" s="76"/>
      <c r="P5" s="82"/>
      <c r="Q5" s="83"/>
      <c r="R5" s="84"/>
      <c r="S5" s="84"/>
      <c r="T5" s="76"/>
      <c r="U5" s="76"/>
      <c r="V5" s="81"/>
      <c r="W5" s="81"/>
      <c r="X5" s="81"/>
      <c r="Y5" s="81"/>
      <c r="Z5" s="81"/>
      <c r="AA5" s="76"/>
      <c r="AB5" s="76"/>
    </row>
    <row r="6" spans="1:28" s="74" customFormat="1" ht="13.5" customHeight="1">
      <c r="A6" s="81" t="s">
        <v>206</v>
      </c>
      <c r="C6" s="83" t="s">
        <v>207</v>
      </c>
      <c r="D6" s="85">
        <v>0.7</v>
      </c>
      <c r="E6" s="86"/>
      <c r="F6" s="76"/>
      <c r="G6" s="81"/>
      <c r="H6" s="76"/>
      <c r="I6" s="76"/>
      <c r="J6" s="76" t="s">
        <v>208</v>
      </c>
      <c r="K6" s="76">
        <v>1.6</v>
      </c>
      <c r="L6" s="87" t="s">
        <v>209</v>
      </c>
      <c r="M6" s="76"/>
      <c r="N6" s="81"/>
      <c r="O6" s="76"/>
      <c r="P6" s="76"/>
      <c r="Q6" s="76"/>
      <c r="R6" s="76"/>
    </row>
    <row r="7" spans="1:28" s="74" customFormat="1" ht="13.5">
      <c r="A7" s="81" t="s">
        <v>210</v>
      </c>
      <c r="C7" s="83" t="s">
        <v>207</v>
      </c>
      <c r="D7" s="85">
        <v>0.5</v>
      </c>
      <c r="E7" s="86"/>
      <c r="F7" s="76"/>
      <c r="H7" s="88" t="s">
        <v>286</v>
      </c>
      <c r="I7" s="89"/>
      <c r="J7" s="90" t="s">
        <v>212</v>
      </c>
      <c r="K7" s="76"/>
      <c r="L7" s="90" t="s">
        <v>213</v>
      </c>
      <c r="M7" s="76"/>
      <c r="N7" s="76"/>
      <c r="O7" s="76"/>
      <c r="P7" s="76"/>
      <c r="Q7" s="76"/>
      <c r="R7" s="76"/>
    </row>
    <row r="8" spans="1:28" s="74" customFormat="1" ht="13.5" customHeight="1">
      <c r="A8" s="81" t="s">
        <v>214</v>
      </c>
      <c r="C8" s="83" t="s">
        <v>207</v>
      </c>
      <c r="D8" s="91">
        <f>N9</f>
        <v>20.418499999999998</v>
      </c>
      <c r="E8" s="92" t="s">
        <v>215</v>
      </c>
      <c r="F8" s="76"/>
      <c r="G8" s="82"/>
      <c r="H8" s="93">
        <v>4.21</v>
      </c>
      <c r="I8" s="94" t="s">
        <v>216</v>
      </c>
      <c r="J8" s="93">
        <f>K5+K6</f>
        <v>4.8499999999999996</v>
      </c>
      <c r="K8" s="94" t="s">
        <v>216</v>
      </c>
      <c r="L8" s="95">
        <v>1</v>
      </c>
      <c r="M8" s="96" t="s">
        <v>217</v>
      </c>
      <c r="N8" s="97">
        <f>H8*J8*L8</f>
        <v>20.418499999999998</v>
      </c>
      <c r="O8" s="92" t="s">
        <v>215</v>
      </c>
      <c r="P8" s="76"/>
      <c r="Q8" s="76"/>
    </row>
    <row r="9" spans="1:28" s="74" customFormat="1" ht="13.5">
      <c r="A9" s="76"/>
      <c r="B9" s="76"/>
      <c r="C9" s="82"/>
      <c r="D9" s="83"/>
      <c r="E9" s="98"/>
      <c r="F9" s="98"/>
      <c r="G9" s="76"/>
      <c r="H9" s="76"/>
      <c r="I9" s="76"/>
      <c r="J9" s="76"/>
      <c r="L9" s="99" t="s">
        <v>218</v>
      </c>
      <c r="M9" s="96" t="s">
        <v>217</v>
      </c>
      <c r="N9" s="100">
        <f>SUM(N8:N8)</f>
        <v>20.418499999999998</v>
      </c>
      <c r="O9" s="92" t="s">
        <v>215</v>
      </c>
      <c r="P9" s="76"/>
      <c r="Q9" s="76"/>
      <c r="R9" s="76"/>
    </row>
    <row r="10" spans="1:28" s="74" customFormat="1" ht="13.5" customHeight="1">
      <c r="A10" s="81"/>
      <c r="C10" s="83"/>
      <c r="D10" s="101"/>
      <c r="E10" s="92"/>
      <c r="F10" s="76"/>
      <c r="G10" s="82"/>
      <c r="H10" s="93"/>
      <c r="I10" s="94"/>
      <c r="J10" s="95"/>
      <c r="K10" s="94"/>
      <c r="M10" s="96"/>
      <c r="N10" s="97"/>
      <c r="O10" s="92"/>
      <c r="P10" s="76"/>
      <c r="Q10" s="76"/>
    </row>
    <row r="11" spans="1:28" s="74" customFormat="1" ht="13.5" customHeight="1">
      <c r="A11" s="76"/>
      <c r="B11" s="82"/>
      <c r="C11" s="83"/>
      <c r="K11" s="76"/>
      <c r="L11" s="76"/>
      <c r="M11" s="76"/>
      <c r="N11" s="76"/>
      <c r="O11" s="76"/>
      <c r="P11" s="76"/>
      <c r="Q11" s="76"/>
    </row>
    <row r="12" spans="1:28" s="74" customFormat="1" ht="13.5">
      <c r="A12" s="82" t="s">
        <v>219</v>
      </c>
      <c r="B12" s="83" t="s">
        <v>75</v>
      </c>
      <c r="C12" s="76" t="s">
        <v>220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1:28" s="74" customFormat="1" ht="13.5">
      <c r="A13" s="76"/>
      <c r="B13" s="83" t="s">
        <v>75</v>
      </c>
      <c r="C13" s="98">
        <f>D6</f>
        <v>0.7</v>
      </c>
      <c r="D13" s="83" t="s">
        <v>221</v>
      </c>
      <c r="E13" s="102">
        <f>D7</f>
        <v>0.5</v>
      </c>
      <c r="F13" s="83" t="s">
        <v>221</v>
      </c>
      <c r="G13" s="101">
        <f>D8</f>
        <v>20.418499999999998</v>
      </c>
      <c r="H13" s="83" t="s">
        <v>75</v>
      </c>
      <c r="I13" s="103">
        <f>C13*E13*G13</f>
        <v>7.1464749999999988</v>
      </c>
      <c r="J13" s="81" t="s">
        <v>222</v>
      </c>
      <c r="K13" s="76"/>
      <c r="N13" s="96"/>
      <c r="O13" s="104"/>
      <c r="P13" s="81"/>
      <c r="Q13" s="76"/>
      <c r="R13" s="76"/>
      <c r="S13" s="76"/>
      <c r="T13" s="76"/>
      <c r="U13" s="83"/>
      <c r="X13" s="105"/>
      <c r="Y13" s="92"/>
      <c r="Z13" s="76"/>
      <c r="AA13" s="76"/>
      <c r="AB13" s="76"/>
    </row>
    <row r="14" spans="1:28" s="74" customFormat="1" ht="13.5">
      <c r="A14" s="76"/>
      <c r="B14" s="83"/>
      <c r="C14" s="76"/>
      <c r="D14" s="98"/>
      <c r="E14" s="98"/>
      <c r="F14" s="83"/>
      <c r="G14" s="102"/>
      <c r="H14" s="102"/>
      <c r="I14" s="83"/>
      <c r="J14" s="98"/>
      <c r="K14" s="98"/>
      <c r="L14" s="83"/>
      <c r="M14" s="106"/>
      <c r="N14" s="106"/>
      <c r="O14" s="83"/>
      <c r="P14" s="76"/>
      <c r="Q14" s="76"/>
      <c r="R14" s="76"/>
      <c r="S14" s="76"/>
      <c r="T14" s="76"/>
      <c r="U14" s="83"/>
      <c r="V14" s="96"/>
      <c r="W14" s="107"/>
      <c r="X14" s="107"/>
      <c r="Y14" s="92"/>
      <c r="Z14" s="76"/>
      <c r="AA14" s="76"/>
      <c r="AB14" s="76"/>
    </row>
    <row r="15" spans="1:28" s="74" customFormat="1" ht="13.5" customHeight="1">
      <c r="A15" s="76" t="s">
        <v>223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81"/>
      <c r="O15" s="76"/>
      <c r="P15" s="82"/>
      <c r="Q15" s="83"/>
      <c r="R15" s="84"/>
      <c r="S15" s="84"/>
      <c r="T15" s="76"/>
      <c r="U15" s="76"/>
      <c r="V15" s="81"/>
      <c r="W15" s="81"/>
      <c r="X15" s="81"/>
      <c r="Y15" s="81"/>
      <c r="Z15" s="81"/>
      <c r="AA15" s="76"/>
      <c r="AB15" s="76"/>
    </row>
    <row r="16" spans="1:28" s="74" customFormat="1" ht="13.5" customHeight="1">
      <c r="A16" s="76"/>
      <c r="B16" s="76"/>
      <c r="C16" s="76"/>
      <c r="D16" s="76"/>
      <c r="E16" s="76"/>
      <c r="F16" s="76"/>
      <c r="G16" s="76"/>
      <c r="I16" s="76"/>
      <c r="J16" s="76"/>
      <c r="K16" s="76"/>
      <c r="L16" s="76"/>
      <c r="M16" s="76"/>
      <c r="N16" s="81"/>
      <c r="O16" s="76"/>
      <c r="P16" s="82"/>
      <c r="Q16" s="83"/>
      <c r="R16" s="84"/>
      <c r="S16" s="84"/>
      <c r="T16" s="76"/>
      <c r="U16" s="76"/>
      <c r="V16" s="81"/>
      <c r="W16" s="81"/>
      <c r="X16" s="81"/>
      <c r="Y16" s="81"/>
      <c r="Z16" s="81"/>
      <c r="AA16" s="76"/>
      <c r="AB16" s="76"/>
    </row>
    <row r="17" spans="1:88" s="74" customFormat="1" ht="13.5" customHeight="1">
      <c r="A17" s="76" t="s">
        <v>224</v>
      </c>
      <c r="B17" s="76"/>
      <c r="C17" s="76"/>
      <c r="D17" s="83" t="s">
        <v>207</v>
      </c>
      <c r="E17" s="108">
        <f>J8</f>
        <v>4.8499999999999996</v>
      </c>
      <c r="F17" s="76" t="s">
        <v>31</v>
      </c>
      <c r="G17" s="76"/>
      <c r="H17" s="76"/>
      <c r="I17" s="76"/>
      <c r="J17" s="76"/>
      <c r="K17" s="76"/>
      <c r="L17" s="76"/>
      <c r="M17" s="76"/>
      <c r="N17" s="81"/>
      <c r="O17" s="76"/>
      <c r="P17" s="82"/>
      <c r="Q17" s="83"/>
      <c r="R17" s="84"/>
      <c r="S17" s="84"/>
      <c r="T17" s="76"/>
      <c r="U17" s="76"/>
      <c r="V17" s="81"/>
      <c r="W17" s="81"/>
      <c r="X17" s="81"/>
      <c r="Y17" s="81"/>
      <c r="Z17" s="81"/>
      <c r="AA17" s="76"/>
      <c r="AB17" s="76"/>
    </row>
    <row r="18" spans="1:88" s="74" customFormat="1" ht="13.5" customHeight="1">
      <c r="A18" s="76" t="s">
        <v>225</v>
      </c>
      <c r="B18" s="76"/>
      <c r="C18" s="76"/>
      <c r="D18" s="83" t="s">
        <v>207</v>
      </c>
      <c r="E18" s="109">
        <v>46</v>
      </c>
      <c r="F18" s="76" t="s">
        <v>226</v>
      </c>
      <c r="G18" s="76"/>
      <c r="H18" s="76"/>
      <c r="I18" s="76"/>
      <c r="J18" s="76"/>
      <c r="K18" s="76"/>
      <c r="L18" s="76"/>
      <c r="M18" s="76"/>
      <c r="N18" s="81"/>
      <c r="O18" s="76"/>
      <c r="P18" s="82"/>
      <c r="Q18" s="83"/>
      <c r="R18" s="84"/>
      <c r="S18" s="84"/>
      <c r="T18" s="76"/>
      <c r="U18" s="76"/>
      <c r="V18" s="81"/>
      <c r="W18" s="81"/>
      <c r="X18" s="81"/>
      <c r="Y18" s="81"/>
      <c r="Z18" s="81"/>
      <c r="AA18" s="76"/>
      <c r="AB18" s="76"/>
    </row>
    <row r="19" spans="1:88" s="74" customFormat="1" ht="13.5" customHeight="1">
      <c r="A19" s="76" t="s">
        <v>227</v>
      </c>
      <c r="B19" s="76"/>
      <c r="C19" s="76"/>
      <c r="D19" s="83" t="s">
        <v>207</v>
      </c>
      <c r="E19" s="109" t="s">
        <v>228</v>
      </c>
      <c r="F19" s="76"/>
      <c r="G19" s="76"/>
      <c r="H19" s="76"/>
      <c r="I19" s="76"/>
      <c r="J19" s="76"/>
      <c r="K19" s="76"/>
      <c r="L19" s="76"/>
      <c r="M19" s="76"/>
      <c r="N19" s="81"/>
      <c r="O19" s="76"/>
      <c r="P19" s="82"/>
      <c r="Q19" s="83"/>
      <c r="R19" s="84"/>
      <c r="S19" s="84"/>
      <c r="T19" s="76"/>
      <c r="U19" s="76"/>
      <c r="V19" s="81"/>
      <c r="W19" s="81"/>
      <c r="X19" s="81"/>
      <c r="Y19" s="81"/>
      <c r="Z19" s="81"/>
      <c r="AA19" s="76"/>
      <c r="AB19" s="76"/>
    </row>
    <row r="20" spans="1:88" s="74" customFormat="1" ht="13.5" customHeight="1">
      <c r="A20" s="76" t="s">
        <v>229</v>
      </c>
      <c r="B20" s="76"/>
      <c r="C20" s="76"/>
      <c r="D20" s="76"/>
      <c r="E20" s="76"/>
      <c r="F20" s="82" t="s">
        <v>230</v>
      </c>
      <c r="G20" s="83" t="s">
        <v>207</v>
      </c>
      <c r="H20" s="109">
        <v>5</v>
      </c>
      <c r="I20" s="83" t="s">
        <v>231</v>
      </c>
      <c r="J20" s="83" t="s">
        <v>207</v>
      </c>
      <c r="K20" s="109">
        <v>450</v>
      </c>
      <c r="L20" s="83" t="s">
        <v>232</v>
      </c>
      <c r="M20" s="83" t="s">
        <v>207</v>
      </c>
      <c r="N20" s="109">
        <v>0.2</v>
      </c>
      <c r="O20" s="83"/>
      <c r="P20" s="83"/>
      <c r="Q20" s="83"/>
      <c r="R20" s="84"/>
      <c r="S20" s="84"/>
      <c r="T20" s="76"/>
      <c r="U20" s="76"/>
      <c r="V20" s="81"/>
      <c r="W20" s="81"/>
      <c r="X20" s="81"/>
      <c r="Y20" s="81"/>
      <c r="Z20" s="81"/>
      <c r="AA20" s="76"/>
      <c r="AB20" s="76"/>
    </row>
    <row r="21" spans="1:88" s="74" customFormat="1" ht="16.5">
      <c r="A21" s="76" t="s">
        <v>233</v>
      </c>
      <c r="B21" s="76"/>
      <c r="C21" s="76"/>
      <c r="D21" s="76"/>
      <c r="E21" s="98"/>
      <c r="F21" s="98"/>
      <c r="G21" s="83" t="s">
        <v>207</v>
      </c>
      <c r="H21" s="110">
        <f>J21*(L21/N21)^P21</f>
        <v>0.69119473203126292</v>
      </c>
      <c r="I21" s="83" t="s">
        <v>75</v>
      </c>
      <c r="J21" s="83">
        <v>1.7</v>
      </c>
      <c r="K21" s="83" t="s">
        <v>234</v>
      </c>
      <c r="L21" s="98">
        <f>H20</f>
        <v>5</v>
      </c>
      <c r="M21" s="83" t="s">
        <v>144</v>
      </c>
      <c r="N21" s="83">
        <f>K20</f>
        <v>450</v>
      </c>
      <c r="O21" s="83" t="s">
        <v>235</v>
      </c>
      <c r="P21" s="83">
        <f>N20</f>
        <v>0.2</v>
      </c>
      <c r="Q21" s="76"/>
      <c r="R21" s="84" t="s">
        <v>236</v>
      </c>
      <c r="S21" s="111" t="s">
        <v>237</v>
      </c>
    </row>
    <row r="22" spans="1:88" s="74" customFormat="1" ht="16.5">
      <c r="A22" s="76" t="s">
        <v>238</v>
      </c>
      <c r="B22" s="76"/>
      <c r="C22" s="76"/>
      <c r="D22" s="83" t="s">
        <v>207</v>
      </c>
      <c r="E22" s="112">
        <v>2.5</v>
      </c>
      <c r="F22" s="98"/>
      <c r="G22" s="83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113"/>
      <c r="S22" s="111" t="s">
        <v>239</v>
      </c>
    </row>
    <row r="23" spans="1:88" s="74" customFormat="1" ht="13.5">
      <c r="A23" s="76" t="s">
        <v>240</v>
      </c>
      <c r="B23" s="76"/>
      <c r="C23" s="76"/>
      <c r="D23" s="76"/>
      <c r="E23" s="98"/>
      <c r="F23" s="98"/>
      <c r="G23" s="83" t="s">
        <v>207</v>
      </c>
      <c r="H23" s="112">
        <f>J23^2*M23</f>
        <v>1.1943753939694233</v>
      </c>
      <c r="I23" s="83" t="s">
        <v>75</v>
      </c>
      <c r="J23" s="83">
        <f>H21</f>
        <v>0.69119473203126292</v>
      </c>
      <c r="K23" s="83" t="s">
        <v>241</v>
      </c>
      <c r="L23" s="83" t="s">
        <v>221</v>
      </c>
      <c r="M23" s="83">
        <f>E22</f>
        <v>2.5</v>
      </c>
      <c r="N23" s="76"/>
      <c r="O23" s="76"/>
      <c r="P23" s="76"/>
      <c r="Q23" s="76"/>
      <c r="T23" s="111"/>
      <c r="U23" s="111"/>
      <c r="V23" s="111"/>
    </row>
    <row r="24" spans="1:88" s="74" customFormat="1" ht="13.5">
      <c r="A24" s="76" t="s">
        <v>242</v>
      </c>
      <c r="B24" s="76"/>
      <c r="C24" s="83" t="s">
        <v>207</v>
      </c>
      <c r="D24" s="112">
        <f>G24*I24*K24^2</f>
        <v>1516.3790001835798</v>
      </c>
      <c r="E24" s="76" t="s">
        <v>243</v>
      </c>
      <c r="F24" s="83" t="s">
        <v>75</v>
      </c>
      <c r="G24" s="95">
        <v>0.6</v>
      </c>
      <c r="H24" s="83" t="s">
        <v>221</v>
      </c>
      <c r="I24" s="76">
        <f>H23</f>
        <v>1.1943753939694233</v>
      </c>
      <c r="J24" s="83" t="s">
        <v>221</v>
      </c>
      <c r="K24" s="83">
        <f>E18</f>
        <v>46</v>
      </c>
      <c r="L24" s="83" t="s">
        <v>241</v>
      </c>
      <c r="M24" s="83"/>
      <c r="N24" s="76"/>
      <c r="O24" s="76"/>
      <c r="P24" s="76"/>
      <c r="Q24" s="76"/>
      <c r="T24" s="111"/>
      <c r="U24" s="111"/>
      <c r="V24" s="111"/>
    </row>
    <row r="25" spans="1:88" s="74" customFormat="1" ht="13.5">
      <c r="A25" s="76" t="s">
        <v>244</v>
      </c>
      <c r="B25" s="76"/>
      <c r="C25" s="83" t="s">
        <v>207</v>
      </c>
      <c r="D25" s="109">
        <v>1.2</v>
      </c>
      <c r="E25" s="76"/>
      <c r="F25" s="83"/>
      <c r="G25" s="95"/>
      <c r="H25" s="83"/>
      <c r="I25" s="76"/>
      <c r="J25" s="83"/>
      <c r="K25" s="83"/>
      <c r="L25" s="83"/>
      <c r="M25" s="83"/>
      <c r="N25" s="76"/>
      <c r="O25" s="76"/>
      <c r="P25" s="76"/>
      <c r="Q25" s="76"/>
      <c r="T25" s="111"/>
      <c r="U25" s="111"/>
      <c r="V25" s="111"/>
    </row>
    <row r="26" spans="1:88" s="74" customFormat="1" ht="13.5">
      <c r="A26" s="76"/>
      <c r="B26" s="76"/>
      <c r="C26" s="82"/>
      <c r="D26" s="83"/>
      <c r="E26" s="98"/>
      <c r="F26" s="98"/>
      <c r="G26" s="76"/>
      <c r="H26" s="76"/>
      <c r="J26" s="76"/>
      <c r="K26" s="99"/>
      <c r="L26" s="96"/>
      <c r="M26" s="105"/>
      <c r="N26" s="96"/>
      <c r="O26" s="76"/>
      <c r="P26" s="76"/>
      <c r="Q26" s="76"/>
      <c r="R26" s="76"/>
    </row>
    <row r="27" spans="1:88" s="74" customFormat="1" ht="13.5">
      <c r="A27" s="82" t="s">
        <v>245</v>
      </c>
      <c r="B27" s="83" t="s">
        <v>75</v>
      </c>
      <c r="C27" s="76" t="s">
        <v>246</v>
      </c>
      <c r="D27" s="76"/>
      <c r="E27" s="76"/>
      <c r="F27" s="76"/>
      <c r="G27" s="90" t="s">
        <v>212</v>
      </c>
      <c r="I27" s="90" t="s">
        <v>213</v>
      </c>
      <c r="O27" s="76"/>
      <c r="P27" s="76"/>
      <c r="Q27" s="76"/>
      <c r="R27" s="76"/>
    </row>
    <row r="28" spans="1:88" s="74" customFormat="1" ht="13.5">
      <c r="A28" s="76"/>
      <c r="B28" s="83" t="s">
        <v>75</v>
      </c>
      <c r="C28" s="98">
        <f>D24</f>
        <v>1516.3790001835798</v>
      </c>
      <c r="D28" s="83" t="s">
        <v>221</v>
      </c>
      <c r="E28" s="102">
        <f>D25</f>
        <v>1.2</v>
      </c>
      <c r="F28" s="83" t="s">
        <v>221</v>
      </c>
      <c r="G28" s="114">
        <f>E17</f>
        <v>4.8499999999999996</v>
      </c>
      <c r="H28" s="94" t="s">
        <v>216</v>
      </c>
      <c r="I28" s="115">
        <v>1</v>
      </c>
      <c r="J28" s="83" t="s">
        <v>144</v>
      </c>
      <c r="K28" s="116">
        <v>1000</v>
      </c>
      <c r="L28" s="83" t="s">
        <v>75</v>
      </c>
      <c r="M28" s="103">
        <f>C28*E28*G28*I28/K28</f>
        <v>8.8253257810684342</v>
      </c>
      <c r="N28" s="81" t="s">
        <v>222</v>
      </c>
      <c r="O28" s="104"/>
      <c r="P28" s="81"/>
      <c r="Q28" s="76"/>
      <c r="R28" s="76"/>
      <c r="S28" s="76"/>
      <c r="T28" s="76"/>
      <c r="U28" s="83"/>
      <c r="X28" s="105"/>
      <c r="Y28" s="92"/>
      <c r="Z28" s="76"/>
      <c r="AA28" s="76"/>
      <c r="AB28" s="76"/>
    </row>
    <row r="29" spans="1:88" s="74" customFormat="1" ht="13.5">
      <c r="A29" s="76"/>
      <c r="B29" s="76"/>
      <c r="C29" s="82"/>
      <c r="D29" s="83"/>
      <c r="E29" s="98"/>
      <c r="F29" s="98"/>
      <c r="G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1:88">
      <c r="A30" s="76" t="s">
        <v>247</v>
      </c>
      <c r="B30" s="78"/>
      <c r="C30" s="78"/>
      <c r="D30" s="117" t="s">
        <v>248</v>
      </c>
      <c r="E30" s="78" t="s">
        <v>249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80"/>
      <c r="Y30" s="118"/>
      <c r="Z30" s="118"/>
      <c r="AA30" s="118"/>
      <c r="AB30" s="139"/>
      <c r="AC30" s="139"/>
      <c r="AD30" s="140"/>
      <c r="AE30" s="140"/>
      <c r="AF30" s="118"/>
      <c r="AG30" s="120"/>
      <c r="AH30" s="118"/>
      <c r="AI30" s="119"/>
      <c r="AJ30" s="118"/>
      <c r="AK30" s="120"/>
      <c r="AL30" s="118"/>
      <c r="AM30" s="118"/>
      <c r="AN30" s="118"/>
      <c r="AO30" s="141"/>
      <c r="AP30" s="141"/>
      <c r="AQ30" s="141"/>
      <c r="AR30" s="121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</row>
    <row r="31" spans="1:88">
      <c r="A31" s="78"/>
      <c r="B31" s="78"/>
      <c r="C31" s="123"/>
      <c r="D31" s="124"/>
      <c r="E31" s="125" t="s">
        <v>219</v>
      </c>
      <c r="F31" s="142">
        <f>I13</f>
        <v>7.1464749999999988</v>
      </c>
      <c r="G31" s="142"/>
      <c r="H31" s="81" t="s">
        <v>222</v>
      </c>
      <c r="I31" s="126"/>
      <c r="J31" s="143">
        <f>MAX(F31:G32)</f>
        <v>8.8253257810684342</v>
      </c>
      <c r="K31" s="144"/>
      <c r="L31" s="144"/>
      <c r="M31" s="145"/>
      <c r="N31" s="127"/>
      <c r="O31" s="128"/>
      <c r="P31" s="129"/>
      <c r="Q31" s="129"/>
      <c r="R31" s="129"/>
      <c r="S31" s="129"/>
      <c r="T31" s="129"/>
      <c r="U31" s="78"/>
      <c r="V31" s="78"/>
      <c r="W31" s="78"/>
      <c r="X31" s="80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</row>
    <row r="32" spans="1:88">
      <c r="A32" s="78"/>
      <c r="B32" s="78"/>
      <c r="C32" s="123"/>
      <c r="D32" s="124"/>
      <c r="E32" s="125" t="s">
        <v>245</v>
      </c>
      <c r="F32" s="142">
        <f>M28</f>
        <v>8.8253257810684342</v>
      </c>
      <c r="G32" s="142"/>
      <c r="H32" s="81" t="s">
        <v>222</v>
      </c>
      <c r="I32" s="126"/>
      <c r="J32" s="146"/>
      <c r="K32" s="147"/>
      <c r="L32" s="147"/>
      <c r="M32" s="148"/>
      <c r="N32" s="127"/>
      <c r="O32" s="128"/>
      <c r="P32" s="129"/>
      <c r="Q32" s="129"/>
      <c r="R32" s="129"/>
      <c r="S32" s="129"/>
      <c r="T32" s="129"/>
      <c r="U32" s="78"/>
      <c r="V32" s="78"/>
      <c r="W32" s="78"/>
      <c r="X32" s="80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</row>
    <row r="33" spans="1:28" s="74" customFormat="1" ht="13.5">
      <c r="A33" s="82"/>
      <c r="B33" s="83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</row>
    <row r="34" spans="1:28" s="74" customFormat="1" ht="13.5">
      <c r="A34" s="76" t="s">
        <v>250</v>
      </c>
      <c r="B34" s="83"/>
      <c r="C34" s="98"/>
      <c r="D34" s="83"/>
      <c r="E34" s="102"/>
      <c r="F34" s="83"/>
      <c r="G34" s="98"/>
      <c r="H34" s="83"/>
      <c r="I34" s="106"/>
      <c r="J34" s="81"/>
      <c r="K34" s="76"/>
      <c r="L34" s="96"/>
      <c r="M34" s="104"/>
      <c r="N34" s="83"/>
      <c r="O34" s="76"/>
      <c r="P34" s="76"/>
      <c r="Q34" s="76"/>
      <c r="R34" s="76"/>
      <c r="S34" s="76"/>
      <c r="T34" s="76"/>
      <c r="U34" s="83"/>
      <c r="X34" s="105"/>
      <c r="Y34" s="92"/>
      <c r="Z34" s="76"/>
      <c r="AA34" s="76"/>
      <c r="AB34" s="76"/>
    </row>
    <row r="35" spans="1:28" s="74" customFormat="1" ht="14.25">
      <c r="A35" s="82" t="s">
        <v>178</v>
      </c>
      <c r="B35" s="83" t="s">
        <v>75</v>
      </c>
      <c r="C35" s="76" t="s">
        <v>251</v>
      </c>
      <c r="D35" s="98"/>
      <c r="E35" s="98"/>
      <c r="F35" s="83"/>
      <c r="G35" s="102"/>
      <c r="H35" s="102"/>
      <c r="I35" s="130" t="s">
        <v>252</v>
      </c>
      <c r="J35" s="98"/>
      <c r="K35" s="98"/>
      <c r="L35" s="83"/>
      <c r="M35" s="106"/>
      <c r="N35" s="106"/>
      <c r="O35" s="83"/>
      <c r="P35" s="76"/>
      <c r="Q35" s="76"/>
      <c r="R35" s="76"/>
      <c r="S35" s="76"/>
      <c r="T35" s="76"/>
      <c r="U35" s="83"/>
      <c r="V35" s="96"/>
      <c r="W35" s="107"/>
      <c r="X35" s="107"/>
      <c r="Y35" s="92"/>
      <c r="Z35" s="76"/>
      <c r="AA35" s="76"/>
      <c r="AB35" s="76"/>
    </row>
    <row r="36" spans="1:28" s="74" customFormat="1" ht="13.5">
      <c r="A36" s="76"/>
      <c r="B36" s="83" t="s">
        <v>75</v>
      </c>
      <c r="C36" s="83">
        <v>1</v>
      </c>
      <c r="D36" s="83" t="s">
        <v>144</v>
      </c>
      <c r="E36" s="83">
        <v>8</v>
      </c>
      <c r="F36" s="83" t="s">
        <v>221</v>
      </c>
      <c r="G36" s="131">
        <f>J31</f>
        <v>8.8253257810684342</v>
      </c>
      <c r="H36" s="83" t="s">
        <v>221</v>
      </c>
      <c r="I36" s="132">
        <v>6.25</v>
      </c>
      <c r="J36" s="83" t="s">
        <v>253</v>
      </c>
      <c r="K36" s="83" t="s">
        <v>75</v>
      </c>
      <c r="L36" s="83">
        <f>C36/E36*G36*I36^2</f>
        <v>43.092411040373214</v>
      </c>
      <c r="M36" s="83" t="s">
        <v>254</v>
      </c>
      <c r="N36" s="106"/>
      <c r="O36" s="96" t="s">
        <v>255</v>
      </c>
      <c r="P36" s="133">
        <f>ROUNDUP(L36,0)</f>
        <v>44</v>
      </c>
      <c r="Q36" s="83" t="s">
        <v>254</v>
      </c>
      <c r="R36" s="76"/>
      <c r="S36" s="76"/>
      <c r="T36" s="76"/>
      <c r="U36" s="83"/>
      <c r="V36" s="96"/>
      <c r="W36" s="107"/>
      <c r="X36" s="107"/>
      <c r="Y36" s="92"/>
      <c r="Z36" s="76"/>
      <c r="AA36" s="76"/>
      <c r="AB36" s="76"/>
    </row>
    <row r="37" spans="1:28" s="74" customFormat="1" ht="13.5">
      <c r="A37" s="76"/>
      <c r="B37" s="76"/>
      <c r="C37" s="83"/>
      <c r="D37" s="76"/>
      <c r="E37" s="98"/>
      <c r="F37" s="98"/>
      <c r="G37" s="83"/>
      <c r="H37" s="102"/>
      <c r="I37" s="102"/>
      <c r="J37" s="83"/>
      <c r="K37" s="98"/>
      <c r="L37" s="98"/>
      <c r="M37" s="83"/>
      <c r="N37" s="106"/>
      <c r="O37" s="106"/>
      <c r="P37" s="83"/>
      <c r="Q37" s="76"/>
      <c r="R37" s="76"/>
      <c r="S37" s="76"/>
      <c r="T37" s="76"/>
      <c r="U37" s="83"/>
      <c r="V37" s="96"/>
      <c r="W37" s="107"/>
      <c r="X37" s="107"/>
      <c r="Y37" s="92"/>
      <c r="Z37" s="76"/>
      <c r="AA37" s="76"/>
      <c r="AB37" s="76"/>
    </row>
    <row r="38" spans="1:28">
      <c r="A38" s="76" t="s">
        <v>256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8"/>
      <c r="S38" s="78"/>
    </row>
    <row r="39" spans="1:28">
      <c r="A39" s="76"/>
      <c r="B39" s="76"/>
      <c r="C39" s="76"/>
      <c r="D39" s="76"/>
      <c r="E39" s="82" t="s">
        <v>257</v>
      </c>
      <c r="F39" s="134">
        <v>21</v>
      </c>
      <c r="G39" s="76" t="s">
        <v>258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8"/>
      <c r="S39" s="78"/>
    </row>
    <row r="40" spans="1:28">
      <c r="A40" s="76"/>
      <c r="B40" s="76"/>
      <c r="C40" s="76"/>
      <c r="D40" s="76"/>
      <c r="E40" s="82" t="s">
        <v>259</v>
      </c>
      <c r="F40" s="134">
        <v>295</v>
      </c>
      <c r="G40" s="76" t="s">
        <v>258</v>
      </c>
      <c r="H40" s="76"/>
      <c r="I40" s="76"/>
      <c r="J40" s="76"/>
      <c r="K40" s="76"/>
      <c r="L40" s="76"/>
      <c r="M40" s="82"/>
      <c r="N40" s="76"/>
      <c r="O40" s="76"/>
      <c r="P40" s="76"/>
      <c r="Q40" s="76"/>
      <c r="S40" s="78"/>
      <c r="U40" s="79" t="s">
        <v>260</v>
      </c>
    </row>
    <row r="41" spans="1:28">
      <c r="A41" s="76"/>
      <c r="B41" s="76"/>
      <c r="C41" s="76"/>
      <c r="D41" s="76"/>
      <c r="E41" s="82" t="s">
        <v>261</v>
      </c>
      <c r="F41" s="134">
        <v>150</v>
      </c>
      <c r="G41" s="76" t="s">
        <v>157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8"/>
      <c r="S41" s="78"/>
    </row>
    <row r="42" spans="1:28">
      <c r="A42" s="76"/>
      <c r="B42" s="76"/>
      <c r="C42" s="76"/>
      <c r="D42" s="76"/>
      <c r="E42" s="82" t="s">
        <v>262</v>
      </c>
      <c r="F42" s="112">
        <f>H42-J42</f>
        <v>80</v>
      </c>
      <c r="G42" s="76" t="s">
        <v>157</v>
      </c>
      <c r="H42" s="135">
        <f>F41</f>
        <v>150</v>
      </c>
      <c r="I42" s="83" t="s">
        <v>77</v>
      </c>
      <c r="J42" s="84">
        <v>70</v>
      </c>
      <c r="K42" s="76" t="s">
        <v>160</v>
      </c>
      <c r="L42" s="76"/>
      <c r="M42" s="76"/>
      <c r="N42" s="76"/>
      <c r="O42" s="76"/>
      <c r="P42" s="76"/>
      <c r="Q42" s="76"/>
      <c r="R42" s="78"/>
      <c r="S42" s="78"/>
    </row>
    <row r="43" spans="1:28">
      <c r="A43" s="76"/>
      <c r="B43" s="76"/>
      <c r="C43" s="76"/>
      <c r="D43" s="76"/>
      <c r="E43" s="82" t="s">
        <v>263</v>
      </c>
      <c r="F43" s="112">
        <f>F42*7/8</f>
        <v>70</v>
      </c>
      <c r="G43" s="76" t="s">
        <v>157</v>
      </c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8"/>
      <c r="S43" s="78"/>
    </row>
    <row r="44" spans="1:28">
      <c r="A44" s="76"/>
      <c r="B44" s="76"/>
      <c r="C44" s="76"/>
      <c r="D44" s="76"/>
      <c r="E44" s="82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8"/>
      <c r="S44" s="78"/>
    </row>
    <row r="45" spans="1:28">
      <c r="A45" s="76" t="s">
        <v>264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8"/>
      <c r="S45" s="78"/>
    </row>
    <row r="46" spans="1:28">
      <c r="A46" s="76"/>
      <c r="B46" s="82" t="s">
        <v>265</v>
      </c>
      <c r="C46" s="81" t="s">
        <v>266</v>
      </c>
      <c r="D46" s="83"/>
      <c r="E46" s="83"/>
      <c r="F46" s="83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8"/>
      <c r="S46" s="78"/>
    </row>
    <row r="47" spans="1:28">
      <c r="A47" s="76"/>
      <c r="B47" s="82" t="s">
        <v>75</v>
      </c>
      <c r="C47" s="136">
        <f>P36</f>
        <v>44</v>
      </c>
      <c r="D47" s="83" t="s">
        <v>221</v>
      </c>
      <c r="E47" s="83">
        <v>10</v>
      </c>
      <c r="F47" s="83" t="s">
        <v>267</v>
      </c>
      <c r="G47" s="83" t="s">
        <v>144</v>
      </c>
      <c r="H47" s="83">
        <f>F40</f>
        <v>295</v>
      </c>
      <c r="I47" s="83" t="s">
        <v>221</v>
      </c>
      <c r="J47" s="83">
        <f>F43</f>
        <v>70</v>
      </c>
      <c r="K47" s="83" t="s">
        <v>75</v>
      </c>
      <c r="L47" s="149">
        <f>(C47*10^6)/(H47*J47)</f>
        <v>2130.7506053268767</v>
      </c>
      <c r="M47" s="150"/>
      <c r="N47" s="76" t="s">
        <v>268</v>
      </c>
      <c r="O47" s="76"/>
      <c r="P47" s="76"/>
      <c r="Q47" s="76"/>
      <c r="R47" s="78"/>
      <c r="S47" s="78"/>
    </row>
    <row r="48" spans="1:28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8"/>
      <c r="S48" s="78"/>
      <c r="U48" s="137" t="s">
        <v>269</v>
      </c>
      <c r="V48" s="137" t="s">
        <v>270</v>
      </c>
    </row>
    <row r="49" spans="1:22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8"/>
      <c r="S49" s="78"/>
      <c r="U49" s="122"/>
      <c r="V49" s="137" t="s">
        <v>271</v>
      </c>
    </row>
    <row r="50" spans="1:22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8"/>
      <c r="S50" s="78"/>
      <c r="U50" s="122"/>
      <c r="V50" s="137" t="s">
        <v>272</v>
      </c>
    </row>
    <row r="51" spans="1:22">
      <c r="A51" s="76"/>
      <c r="B51" s="82" t="s">
        <v>273</v>
      </c>
      <c r="C51" s="151">
        <v>13</v>
      </c>
      <c r="D51" s="152"/>
      <c r="E51" s="151">
        <v>127</v>
      </c>
      <c r="F51" s="152"/>
      <c r="G51" s="76" t="s">
        <v>268</v>
      </c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8"/>
      <c r="S51" s="78"/>
      <c r="V51" s="137" t="s">
        <v>274</v>
      </c>
    </row>
    <row r="52" spans="1:22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8"/>
      <c r="S52" s="78"/>
      <c r="U52" s="122"/>
      <c r="V52" s="137" t="s">
        <v>275</v>
      </c>
    </row>
    <row r="53" spans="1:22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8"/>
      <c r="S53" s="78"/>
      <c r="U53" s="122"/>
      <c r="V53" s="137"/>
    </row>
    <row r="54" spans="1:22">
      <c r="A54" s="76"/>
      <c r="B54" s="82" t="s">
        <v>276</v>
      </c>
      <c r="C54" s="76" t="s">
        <v>277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8"/>
      <c r="S54" s="78"/>
      <c r="V54" s="137" t="s">
        <v>278</v>
      </c>
    </row>
    <row r="55" spans="1:22">
      <c r="A55" s="76"/>
      <c r="B55" s="82" t="s">
        <v>75</v>
      </c>
      <c r="C55" s="153">
        <f>E51</f>
        <v>127</v>
      </c>
      <c r="D55" s="154"/>
      <c r="E55" s="83" t="s">
        <v>221</v>
      </c>
      <c r="F55" s="153">
        <v>1000</v>
      </c>
      <c r="G55" s="154"/>
      <c r="H55" s="83" t="s">
        <v>144</v>
      </c>
      <c r="I55" s="149">
        <f>L47</f>
        <v>2130.7506053268767</v>
      </c>
      <c r="J55" s="150"/>
      <c r="K55" s="83" t="s">
        <v>75</v>
      </c>
      <c r="L55" s="149">
        <f>(C55*F55)/I55</f>
        <v>59.603409090909089</v>
      </c>
      <c r="M55" s="150"/>
      <c r="N55" s="76" t="s">
        <v>157</v>
      </c>
      <c r="O55" s="76"/>
      <c r="P55" s="76"/>
      <c r="Q55" s="76"/>
      <c r="R55" s="78"/>
      <c r="S55" s="78"/>
      <c r="V55" s="137" t="s">
        <v>279</v>
      </c>
    </row>
    <row r="56" spans="1:22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8"/>
      <c r="S56" s="78"/>
      <c r="U56" s="137">
        <v>10</v>
      </c>
      <c r="V56" s="137">
        <v>71</v>
      </c>
    </row>
    <row r="57" spans="1:22">
      <c r="A57" s="76"/>
      <c r="B57" s="76"/>
      <c r="C57" s="76"/>
      <c r="D57" s="76"/>
      <c r="E57" s="76"/>
      <c r="F57" s="76"/>
      <c r="G57" s="155" t="s">
        <v>280</v>
      </c>
      <c r="H57" s="157" t="s">
        <v>281</v>
      </c>
      <c r="I57" s="159">
        <v>13</v>
      </c>
      <c r="J57" s="159"/>
      <c r="K57" s="157" t="s">
        <v>159</v>
      </c>
      <c r="L57" s="159" t="s">
        <v>282</v>
      </c>
      <c r="M57" s="161"/>
      <c r="N57" s="76"/>
      <c r="O57" s="76"/>
      <c r="P57" s="76"/>
      <c r="Q57" s="76"/>
      <c r="R57" s="78"/>
      <c r="S57" s="78"/>
      <c r="U57" s="137">
        <v>13</v>
      </c>
      <c r="V57" s="137">
        <v>127</v>
      </c>
    </row>
    <row r="58" spans="1:22">
      <c r="A58" s="76"/>
      <c r="B58" s="76"/>
      <c r="C58" s="76"/>
      <c r="D58" s="76"/>
      <c r="E58" s="76"/>
      <c r="F58" s="76"/>
      <c r="G58" s="156"/>
      <c r="H58" s="158"/>
      <c r="I58" s="160"/>
      <c r="J58" s="160"/>
      <c r="K58" s="158"/>
      <c r="L58" s="160"/>
      <c r="M58" s="162"/>
      <c r="N58" s="76" t="s">
        <v>283</v>
      </c>
      <c r="O58" s="76"/>
      <c r="P58" s="76"/>
      <c r="Q58" s="76"/>
      <c r="R58" s="78"/>
      <c r="S58" s="78"/>
      <c r="U58" s="137" t="s">
        <v>284</v>
      </c>
      <c r="V58" s="137">
        <v>99</v>
      </c>
    </row>
    <row r="59" spans="1:2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</sheetData>
  <mergeCells count="19">
    <mergeCell ref="G57:G58"/>
    <mergeCell ref="H57:H58"/>
    <mergeCell ref="I57:J58"/>
    <mergeCell ref="K57:K58"/>
    <mergeCell ref="L57:M58"/>
    <mergeCell ref="L47:M47"/>
    <mergeCell ref="C51:D51"/>
    <mergeCell ref="E51:F51"/>
    <mergeCell ref="C55:D55"/>
    <mergeCell ref="F55:G55"/>
    <mergeCell ref="I55:J55"/>
    <mergeCell ref="L55:M55"/>
    <mergeCell ref="D1:N1"/>
    <mergeCell ref="AB30:AC30"/>
    <mergeCell ref="AD30:AE30"/>
    <mergeCell ref="AO30:AQ30"/>
    <mergeCell ref="F31:G31"/>
    <mergeCell ref="J31:M32"/>
    <mergeCell ref="F32:G32"/>
  </mergeCells>
  <phoneticPr fontId="2"/>
  <dataValidations count="3">
    <dataValidation type="list" allowBlank="1" showInputMessage="1" showErrorMessage="1" sqref="L57:M58" xr:uid="{319F5959-FE91-4741-85AB-CF042DE1BCB9}">
      <formula1>$V$48:$V$55</formula1>
    </dataValidation>
    <dataValidation type="list" allowBlank="1" showInputMessage="1" showErrorMessage="1" sqref="E51:F51" xr:uid="{09A95F8D-11F3-420A-A8DD-AF315D9903E7}">
      <formula1>$V$56:$V$58</formula1>
    </dataValidation>
    <dataValidation type="list" allowBlank="1" showInputMessage="1" showErrorMessage="1" sqref="C51:D51 I57:J58" xr:uid="{6DE9E8B5-F279-4D42-AA53-B5A725EF817F}">
      <formula1>$U$56:$U$58</formula1>
    </dataValidation>
  </dataValidations>
  <pageMargins left="1.1811023622047245" right="0.78740157480314965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EC6AC-7C54-4EEA-B26D-CD3FD9BB6BE8}">
  <sheetPr>
    <tabColor rgb="FFFF0000"/>
  </sheetPr>
  <dimension ref="B1:Y211"/>
  <sheetViews>
    <sheetView view="pageBreakPreview" topLeftCell="A49" zoomScaleNormal="100" zoomScaleSheetLayoutView="100" workbookViewId="0">
      <selection activeCell="V76" sqref="V76"/>
    </sheetView>
  </sheetViews>
  <sheetFormatPr defaultColWidth="9" defaultRowHeight="13.5"/>
  <cols>
    <col min="1" max="1" width="9" style="1"/>
    <col min="2" max="2" width="20.75" style="1" customWidth="1"/>
    <col min="3" max="3" width="6.75" style="1" customWidth="1"/>
    <col min="4" max="5" width="3.75" style="1" customWidth="1"/>
    <col min="6" max="6" width="6.75" style="1" customWidth="1"/>
    <col min="7" max="7" width="3.75" style="1" customWidth="1"/>
    <col min="8" max="8" width="6.75" style="6" customWidth="1"/>
    <col min="9" max="9" width="3.75" style="1" customWidth="1"/>
    <col min="10" max="10" width="6.75" style="1" customWidth="1"/>
    <col min="11" max="11" width="3.75" style="1" customWidth="1"/>
    <col min="12" max="12" width="6.75" style="1" customWidth="1"/>
    <col min="13" max="13" width="3.75" style="1" customWidth="1"/>
    <col min="14" max="14" width="6.875" style="1" customWidth="1"/>
    <col min="15" max="15" width="4" style="1" customWidth="1"/>
    <col min="16" max="16" width="6.75" style="1" customWidth="1"/>
    <col min="17" max="17" width="3.75" style="1" customWidth="1"/>
    <col min="18" max="18" width="6.75" style="1" customWidth="1"/>
    <col min="19" max="19" width="3.75" style="1" customWidth="1"/>
    <col min="20" max="20" width="6.75" style="6" customWidth="1"/>
    <col min="21" max="21" width="3.75" style="1" customWidth="1"/>
    <col min="22" max="22" width="6.75" style="1" customWidth="1"/>
    <col min="23" max="23" width="3.75" style="1" customWidth="1"/>
    <col min="24" max="24" width="6.75" style="1" customWidth="1"/>
    <col min="25" max="25" width="3.75" style="1" customWidth="1"/>
    <col min="26" max="26" width="8.75" style="1" customWidth="1"/>
    <col min="27" max="16384" width="9" style="1"/>
  </cols>
  <sheetData>
    <row r="1" spans="2:24" ht="13.15" customHeight="1">
      <c r="B1" s="167" t="s">
        <v>28</v>
      </c>
      <c r="C1" s="167"/>
      <c r="D1" s="167"/>
      <c r="E1" s="167"/>
      <c r="F1" s="167"/>
      <c r="G1" s="167"/>
      <c r="H1" s="167"/>
      <c r="I1" s="167"/>
      <c r="O1" s="167"/>
      <c r="Q1" s="168" t="s">
        <v>29</v>
      </c>
      <c r="R1" s="168"/>
      <c r="S1" s="168"/>
      <c r="T1" s="168"/>
      <c r="U1" s="168"/>
      <c r="V1" s="168"/>
    </row>
    <row r="2" spans="2:24" ht="13.15" customHeight="1">
      <c r="B2" s="167"/>
      <c r="C2" s="167"/>
      <c r="D2" s="167"/>
      <c r="E2" s="167"/>
      <c r="F2" s="167"/>
      <c r="G2" s="167"/>
      <c r="H2" s="167"/>
      <c r="I2" s="167"/>
      <c r="O2" s="167"/>
      <c r="Q2" s="168"/>
      <c r="R2" s="168"/>
      <c r="S2" s="168"/>
      <c r="T2" s="168"/>
      <c r="U2" s="168"/>
      <c r="V2" s="168"/>
    </row>
    <row r="3" spans="2:24" ht="13.15" customHeight="1">
      <c r="B3" s="2"/>
      <c r="C3" s="3"/>
      <c r="H3" s="4" t="s">
        <v>30</v>
      </c>
      <c r="L3" s="4" t="s">
        <v>31</v>
      </c>
      <c r="T3" s="1"/>
    </row>
    <row r="4" spans="2:24" ht="13.15" customHeight="1">
      <c r="B4" s="2"/>
      <c r="C4" s="3"/>
      <c r="F4" s="5" t="s">
        <v>32</v>
      </c>
      <c r="G4" s="6" t="s">
        <v>33</v>
      </c>
      <c r="H4" s="7">
        <v>5.87</v>
      </c>
      <c r="I4" s="6"/>
      <c r="J4" s="2" t="s">
        <v>34</v>
      </c>
      <c r="K4" s="6" t="s">
        <v>33</v>
      </c>
      <c r="L4" s="7">
        <v>0.2</v>
      </c>
      <c r="Q4" s="8" t="s">
        <v>35</v>
      </c>
      <c r="T4" s="1"/>
    </row>
    <row r="5" spans="2:24" ht="13.15" customHeight="1">
      <c r="B5" s="2"/>
      <c r="C5" s="9"/>
      <c r="D5" s="10"/>
      <c r="E5" s="10"/>
      <c r="H5" s="4" t="s">
        <v>31</v>
      </c>
      <c r="I5" s="6"/>
      <c r="L5" s="4" t="s">
        <v>31</v>
      </c>
      <c r="T5" s="1"/>
      <c r="V5" s="1" t="s">
        <v>36</v>
      </c>
    </row>
    <row r="6" spans="2:24" ht="13.15" customHeight="1">
      <c r="F6" s="2" t="s">
        <v>37</v>
      </c>
      <c r="G6" s="6" t="s">
        <v>33</v>
      </c>
      <c r="H6" s="11"/>
      <c r="I6" s="6"/>
      <c r="J6" s="2" t="s">
        <v>38</v>
      </c>
      <c r="K6" s="6" t="s">
        <v>33</v>
      </c>
      <c r="L6" s="7">
        <v>0.25</v>
      </c>
      <c r="R6" s="1" t="s">
        <v>39</v>
      </c>
      <c r="S6" s="163" t="e">
        <f>#REF!</f>
        <v>#REF!</v>
      </c>
      <c r="T6" s="163"/>
      <c r="V6" s="1" t="s">
        <v>40</v>
      </c>
      <c r="W6" s="164" t="e">
        <f>#REF!</f>
        <v>#REF!</v>
      </c>
      <c r="X6" s="164"/>
    </row>
    <row r="7" spans="2:24" ht="13.15" customHeight="1">
      <c r="H7" s="4" t="s">
        <v>41</v>
      </c>
      <c r="I7" s="6"/>
      <c r="L7" s="4" t="s">
        <v>42</v>
      </c>
      <c r="R7" s="1" t="s">
        <v>43</v>
      </c>
      <c r="S7" s="163" t="e">
        <f>#REF!</f>
        <v>#REF!</v>
      </c>
      <c r="T7" s="163"/>
      <c r="V7" s="1" t="s">
        <v>44</v>
      </c>
      <c r="W7" s="164" t="e">
        <f>#REF!</f>
        <v>#REF!</v>
      </c>
      <c r="X7" s="164"/>
    </row>
    <row r="8" spans="2:24" ht="13.15" customHeight="1">
      <c r="F8" s="2" t="s">
        <v>45</v>
      </c>
      <c r="G8" s="6" t="s">
        <v>33</v>
      </c>
      <c r="H8" s="14">
        <v>1</v>
      </c>
      <c r="I8" s="6"/>
      <c r="J8" s="2" t="s">
        <v>46</v>
      </c>
      <c r="K8" s="6" t="s">
        <v>33</v>
      </c>
      <c r="L8" s="15"/>
      <c r="R8" s="1" t="s">
        <v>47</v>
      </c>
      <c r="S8" s="163" t="e">
        <f>#REF!</f>
        <v>#REF!</v>
      </c>
      <c r="T8" s="163"/>
      <c r="V8" s="1" t="s">
        <v>48</v>
      </c>
      <c r="W8" s="164" t="e">
        <f>#REF!</f>
        <v>#REF!</v>
      </c>
      <c r="X8" s="164"/>
    </row>
    <row r="9" spans="2:24" ht="13.15" customHeight="1">
      <c r="H9" s="4" t="s">
        <v>31</v>
      </c>
      <c r="I9" s="6"/>
      <c r="L9" s="4" t="s">
        <v>31</v>
      </c>
      <c r="R9" s="1" t="s">
        <v>49</v>
      </c>
      <c r="S9" s="163">
        <v>21.5</v>
      </c>
      <c r="T9" s="163"/>
    </row>
    <row r="10" spans="2:24" ht="13.15" customHeight="1">
      <c r="F10" s="2" t="s">
        <v>50</v>
      </c>
      <c r="G10" s="6" t="s">
        <v>33</v>
      </c>
      <c r="H10" s="7">
        <v>0.7</v>
      </c>
      <c r="I10" s="6"/>
      <c r="J10" s="2" t="s">
        <v>40</v>
      </c>
      <c r="K10" s="6" t="s">
        <v>33</v>
      </c>
      <c r="L10" s="7">
        <v>1.55</v>
      </c>
      <c r="T10" s="1"/>
    </row>
    <row r="11" spans="2:24" ht="13.15" customHeight="1">
      <c r="B11" s="16"/>
      <c r="C11" s="9"/>
      <c r="H11" s="4" t="s">
        <v>31</v>
      </c>
      <c r="I11" s="6"/>
      <c r="L11" s="4" t="s">
        <v>31</v>
      </c>
      <c r="R11" s="1" t="s">
        <v>51</v>
      </c>
      <c r="T11" s="1"/>
    </row>
    <row r="12" spans="2:24" ht="13.15" customHeight="1">
      <c r="B12" s="2"/>
      <c r="C12" s="3"/>
      <c r="D12" s="6"/>
      <c r="E12" s="6"/>
      <c r="F12" s="2" t="s">
        <v>52</v>
      </c>
      <c r="G12" s="6" t="s">
        <v>33</v>
      </c>
      <c r="H12" s="17">
        <v>5.78</v>
      </c>
      <c r="I12" s="6"/>
      <c r="J12" s="2" t="s">
        <v>44</v>
      </c>
      <c r="K12" s="6" t="s">
        <v>33</v>
      </c>
      <c r="L12" s="7">
        <v>1.55</v>
      </c>
      <c r="T12" s="1"/>
    </row>
    <row r="13" spans="2:24" ht="13.15" customHeight="1">
      <c r="B13" s="18"/>
      <c r="C13" s="9"/>
      <c r="D13" s="10"/>
      <c r="E13" s="10"/>
      <c r="F13" s="2"/>
      <c r="G13" s="6"/>
      <c r="H13" s="4" t="s">
        <v>31</v>
      </c>
      <c r="L13" s="4" t="s">
        <v>31</v>
      </c>
      <c r="R13" s="165" t="s">
        <v>53</v>
      </c>
      <c r="S13" s="166" t="s">
        <v>54</v>
      </c>
      <c r="T13" s="166"/>
      <c r="U13" s="166"/>
      <c r="V13" s="166"/>
    </row>
    <row r="14" spans="2:24" ht="13.15" customHeight="1">
      <c r="B14" s="2"/>
      <c r="C14" s="12"/>
      <c r="D14" s="6"/>
      <c r="E14" s="6"/>
      <c r="F14" s="2" t="s">
        <v>55</v>
      </c>
      <c r="G14" s="6" t="s">
        <v>33</v>
      </c>
      <c r="H14" s="14">
        <f>H16-L18-H10</f>
        <v>0.30000000000000004</v>
      </c>
      <c r="I14" s="6"/>
      <c r="J14" s="2" t="s">
        <v>48</v>
      </c>
      <c r="K14" s="6" t="s">
        <v>33</v>
      </c>
      <c r="L14" s="7">
        <v>0.92500000000000004</v>
      </c>
      <c r="R14" s="165"/>
      <c r="S14" s="165" t="s">
        <v>56</v>
      </c>
      <c r="T14" s="165"/>
      <c r="U14" s="165"/>
      <c r="V14" s="165"/>
    </row>
    <row r="15" spans="2:24" ht="13.15" customHeight="1">
      <c r="B15" s="2"/>
      <c r="C15" s="12"/>
      <c r="D15" s="6"/>
      <c r="E15" s="6"/>
      <c r="F15" s="2"/>
      <c r="G15" s="6"/>
      <c r="H15" s="4" t="s">
        <v>31</v>
      </c>
      <c r="I15" s="6"/>
      <c r="L15" s="4" t="s">
        <v>31</v>
      </c>
      <c r="T15" s="1"/>
    </row>
    <row r="16" spans="2:24" ht="13.15" customHeight="1">
      <c r="B16" s="2"/>
      <c r="C16" s="12"/>
      <c r="D16" s="6"/>
      <c r="E16" s="6"/>
      <c r="F16" s="2" t="s">
        <v>57</v>
      </c>
      <c r="G16" s="6" t="s">
        <v>33</v>
      </c>
      <c r="H16" s="7">
        <v>1.6</v>
      </c>
      <c r="I16" s="6"/>
      <c r="J16" s="2" t="s">
        <v>58</v>
      </c>
      <c r="K16" s="6" t="s">
        <v>33</v>
      </c>
      <c r="L16" s="7">
        <v>1.9875</v>
      </c>
      <c r="R16" s="165" t="s">
        <v>53</v>
      </c>
      <c r="S16" s="170" t="e">
        <f>S6*W6+S7*W7+S8*W8</f>
        <v>#REF!</v>
      </c>
      <c r="T16" s="170"/>
      <c r="U16" s="170"/>
      <c r="V16" s="165" t="s">
        <v>33</v>
      </c>
      <c r="W16" s="164" t="e">
        <f>S16/S17</f>
        <v>#REF!</v>
      </c>
      <c r="X16" s="164"/>
    </row>
    <row r="17" spans="2:24" ht="13.15" customHeight="1">
      <c r="B17" s="2"/>
      <c r="C17" s="12"/>
      <c r="D17" s="6"/>
      <c r="E17" s="6"/>
      <c r="H17" s="4" t="s">
        <v>59</v>
      </c>
      <c r="I17" s="6"/>
      <c r="L17" s="4" t="s">
        <v>31</v>
      </c>
      <c r="R17" s="165"/>
      <c r="S17" s="163">
        <f>S9</f>
        <v>21.5</v>
      </c>
      <c r="T17" s="165"/>
      <c r="U17" s="165"/>
      <c r="V17" s="165"/>
      <c r="W17" s="164"/>
      <c r="X17" s="164"/>
    </row>
    <row r="18" spans="2:24" ht="13.15" customHeight="1">
      <c r="F18" s="2" t="s">
        <v>60</v>
      </c>
      <c r="G18" s="6" t="s">
        <v>33</v>
      </c>
      <c r="H18" s="15"/>
      <c r="I18" s="6"/>
      <c r="J18" s="2" t="s">
        <v>61</v>
      </c>
      <c r="K18" s="6" t="s">
        <v>33</v>
      </c>
      <c r="L18" s="7">
        <v>0.6</v>
      </c>
      <c r="R18" s="6"/>
      <c r="S18" s="12"/>
      <c r="U18" s="6"/>
      <c r="V18" s="6"/>
      <c r="W18" s="13"/>
      <c r="X18" s="13"/>
    </row>
    <row r="19" spans="2:24" ht="13.15" customHeight="1">
      <c r="H19" s="4" t="s">
        <v>31</v>
      </c>
      <c r="I19" s="6"/>
      <c r="L19" s="4" t="s">
        <v>31</v>
      </c>
      <c r="Q19" s="8" t="s">
        <v>62</v>
      </c>
      <c r="S19" s="12"/>
      <c r="U19" s="6"/>
      <c r="V19" s="6"/>
      <c r="W19" s="13"/>
      <c r="X19" s="13"/>
    </row>
    <row r="20" spans="2:24" ht="13.15" customHeight="1">
      <c r="F20" s="2" t="s">
        <v>63</v>
      </c>
      <c r="G20" s="6" t="s">
        <v>33</v>
      </c>
      <c r="H20" s="7">
        <v>0.95</v>
      </c>
      <c r="I20" s="6"/>
      <c r="J20" s="2" t="s">
        <v>64</v>
      </c>
      <c r="K20" s="6" t="s">
        <v>33</v>
      </c>
      <c r="L20" s="7">
        <v>0.95</v>
      </c>
      <c r="Q20" s="8"/>
      <c r="S20" s="12"/>
      <c r="U20" s="6"/>
      <c r="V20" s="6"/>
      <c r="W20" s="13"/>
      <c r="X20" s="13"/>
    </row>
    <row r="21" spans="2:24" ht="13.15" customHeight="1">
      <c r="H21" s="4" t="s">
        <v>31</v>
      </c>
      <c r="I21" s="6"/>
      <c r="L21" s="4" t="s">
        <v>31</v>
      </c>
      <c r="Q21" s="8"/>
      <c r="S21" s="12"/>
      <c r="U21" s="6"/>
      <c r="V21" s="6"/>
      <c r="W21" s="13"/>
      <c r="X21" s="13"/>
    </row>
    <row r="22" spans="2:24" ht="13.15" customHeight="1">
      <c r="F22" s="2" t="s">
        <v>65</v>
      </c>
      <c r="G22" s="6" t="s">
        <v>33</v>
      </c>
      <c r="H22" s="7">
        <v>0.35</v>
      </c>
      <c r="I22" s="6"/>
      <c r="J22" s="2" t="s">
        <v>66</v>
      </c>
      <c r="K22" s="6" t="s">
        <v>33</v>
      </c>
      <c r="L22" s="7">
        <v>0.125</v>
      </c>
      <c r="Q22" s="8"/>
      <c r="S22" s="12"/>
      <c r="U22" s="6"/>
      <c r="V22" s="6"/>
      <c r="W22" s="13"/>
      <c r="X22" s="13"/>
    </row>
    <row r="23" spans="2:24" ht="13.15" customHeight="1">
      <c r="H23" s="4" t="s">
        <v>31</v>
      </c>
      <c r="I23" s="6"/>
      <c r="J23" s="2"/>
      <c r="K23" s="6"/>
      <c r="L23" s="20"/>
      <c r="Q23" s="8"/>
      <c r="S23" s="12"/>
      <c r="U23" s="6"/>
      <c r="V23" s="6"/>
      <c r="W23" s="13"/>
      <c r="X23" s="13"/>
    </row>
    <row r="24" spans="2:24" ht="13.15" customHeight="1">
      <c r="F24" s="2" t="s">
        <v>67</v>
      </c>
      <c r="G24" s="6" t="s">
        <v>33</v>
      </c>
      <c r="H24" s="7">
        <v>0.35</v>
      </c>
      <c r="I24" s="6"/>
      <c r="J24" s="2"/>
      <c r="Q24" s="8"/>
      <c r="S24" s="12"/>
      <c r="U24" s="6"/>
      <c r="V24" s="6"/>
      <c r="W24" s="13"/>
      <c r="X24" s="13"/>
    </row>
    <row r="25" spans="2:24" ht="13.15" customHeight="1">
      <c r="F25" s="21" t="s">
        <v>68</v>
      </c>
      <c r="H25" s="10" t="s">
        <v>69</v>
      </c>
      <c r="I25" s="6"/>
      <c r="J25" s="21" t="s">
        <v>70</v>
      </c>
      <c r="L25" s="10" t="s">
        <v>69</v>
      </c>
      <c r="R25" s="6"/>
      <c r="S25" s="12"/>
      <c r="U25" s="6"/>
      <c r="V25" s="6"/>
      <c r="W25" s="13"/>
      <c r="X25" s="13"/>
    </row>
    <row r="26" spans="2:24" ht="13.15" customHeight="1">
      <c r="F26" s="2" t="s">
        <v>71</v>
      </c>
      <c r="G26" s="6" t="s">
        <v>33</v>
      </c>
      <c r="H26" s="22">
        <v>15.16</v>
      </c>
      <c r="I26" s="6"/>
      <c r="J26" s="2" t="s">
        <v>72</v>
      </c>
      <c r="K26" s="6" t="s">
        <v>33</v>
      </c>
      <c r="L26" s="22">
        <v>8.83</v>
      </c>
      <c r="M26" s="23" t="s">
        <v>73</v>
      </c>
      <c r="O26" s="24"/>
      <c r="P26" s="24"/>
      <c r="Q26" s="24"/>
      <c r="R26" s="165" t="s">
        <v>74</v>
      </c>
      <c r="S26" s="163" t="s">
        <v>75</v>
      </c>
      <c r="T26" s="19" t="s">
        <v>76</v>
      </c>
      <c r="U26" s="165" t="s">
        <v>77</v>
      </c>
      <c r="V26" s="165" t="s">
        <v>78</v>
      </c>
      <c r="W26" s="164"/>
      <c r="X26" s="164"/>
    </row>
    <row r="27" spans="2:24" ht="13.15" customHeight="1">
      <c r="C27" s="4"/>
      <c r="D27" s="10"/>
      <c r="E27" s="10"/>
      <c r="F27" s="4" t="s">
        <v>79</v>
      </c>
      <c r="G27" s="10"/>
      <c r="H27" s="9" t="s">
        <v>80</v>
      </c>
      <c r="J27" s="4" t="s">
        <v>81</v>
      </c>
      <c r="L27" s="4" t="s">
        <v>82</v>
      </c>
      <c r="N27" s="10" t="s">
        <v>69</v>
      </c>
      <c r="R27" s="165"/>
      <c r="S27" s="163"/>
      <c r="T27" s="6">
        <v>2</v>
      </c>
      <c r="U27" s="165"/>
      <c r="V27" s="165"/>
      <c r="W27" s="164"/>
      <c r="X27" s="164"/>
    </row>
    <row r="28" spans="2:24" ht="13.15" customHeight="1">
      <c r="B28" s="2"/>
      <c r="C28" s="25"/>
      <c r="D28" s="6"/>
      <c r="E28" s="6"/>
      <c r="F28" s="2" t="s">
        <v>39</v>
      </c>
      <c r="G28" s="6" t="s">
        <v>33</v>
      </c>
      <c r="H28" s="26">
        <f>H4</f>
        <v>5.87</v>
      </c>
      <c r="I28" s="6" t="s">
        <v>83</v>
      </c>
      <c r="J28" s="27">
        <f>H12+H10</f>
        <v>6.48</v>
      </c>
      <c r="K28" s="6" t="s">
        <v>83</v>
      </c>
      <c r="L28" s="26">
        <f>H8</f>
        <v>1</v>
      </c>
      <c r="M28" s="6" t="s">
        <v>33</v>
      </c>
      <c r="N28" s="28">
        <f>H28*J28*L28</f>
        <v>38.037600000000005</v>
      </c>
      <c r="R28" s="6"/>
      <c r="S28" s="12" t="s">
        <v>75</v>
      </c>
      <c r="T28" s="6">
        <v>0.55000000000000004</v>
      </c>
      <c r="U28" s="6" t="s">
        <v>77</v>
      </c>
      <c r="V28" s="13" t="e">
        <f>W16</f>
        <v>#REF!</v>
      </c>
      <c r="W28" s="13" t="s">
        <v>75</v>
      </c>
      <c r="X28" s="13" t="e">
        <f>T28-V28</f>
        <v>#REF!</v>
      </c>
    </row>
    <row r="29" spans="2:24" ht="13.15" customHeight="1">
      <c r="C29" s="29"/>
      <c r="F29" s="4"/>
      <c r="G29" s="10"/>
      <c r="H29" s="9" t="s">
        <v>84</v>
      </c>
      <c r="J29" s="4" t="s">
        <v>59</v>
      </c>
      <c r="L29" s="4" t="s">
        <v>82</v>
      </c>
      <c r="N29" s="10" t="s">
        <v>69</v>
      </c>
      <c r="R29" s="6"/>
      <c r="S29" s="12"/>
      <c r="U29" s="6"/>
      <c r="V29" s="6"/>
      <c r="W29" s="13"/>
      <c r="X29" s="13"/>
    </row>
    <row r="30" spans="2:24" ht="13.15" customHeight="1">
      <c r="C30" s="25"/>
      <c r="D30" s="6"/>
      <c r="E30" s="6"/>
      <c r="F30" s="2" t="s">
        <v>43</v>
      </c>
      <c r="G30" s="6" t="s">
        <v>33</v>
      </c>
      <c r="H30" s="30">
        <v>24</v>
      </c>
      <c r="I30" s="6" t="s">
        <v>83</v>
      </c>
      <c r="J30" s="31">
        <v>0.97499999999999998</v>
      </c>
      <c r="K30" s="6" t="s">
        <v>83</v>
      </c>
      <c r="L30" s="26">
        <f>H8</f>
        <v>1</v>
      </c>
      <c r="M30" s="6" t="s">
        <v>33</v>
      </c>
      <c r="N30" s="28">
        <f>H30*J30*L30</f>
        <v>23.4</v>
      </c>
      <c r="Q30" s="8" t="s">
        <v>85</v>
      </c>
      <c r="T30" s="1"/>
    </row>
    <row r="31" spans="2:24" ht="13.15" customHeight="1">
      <c r="C31" s="4"/>
      <c r="D31" s="10"/>
      <c r="E31" s="10"/>
      <c r="F31" s="9"/>
      <c r="H31" s="9" t="s">
        <v>84</v>
      </c>
      <c r="J31" s="4" t="s">
        <v>59</v>
      </c>
      <c r="L31" s="4" t="s">
        <v>82</v>
      </c>
      <c r="N31" s="10" t="s">
        <v>69</v>
      </c>
      <c r="T31" s="1"/>
    </row>
    <row r="32" spans="2:24" ht="13.15" customHeight="1">
      <c r="B32" s="2"/>
      <c r="F32" s="2" t="s">
        <v>47</v>
      </c>
      <c r="G32" s="6" t="s">
        <v>33</v>
      </c>
      <c r="H32" s="32">
        <v>16</v>
      </c>
      <c r="I32" s="6" t="s">
        <v>83</v>
      </c>
      <c r="J32" s="20">
        <v>1.0129999999999999</v>
      </c>
      <c r="K32" s="6" t="s">
        <v>83</v>
      </c>
      <c r="L32" s="26">
        <f>H8</f>
        <v>1</v>
      </c>
      <c r="M32" s="6" t="s">
        <v>33</v>
      </c>
      <c r="N32" s="28">
        <f>H32*J32*L32</f>
        <v>16.207999999999998</v>
      </c>
      <c r="R32" s="1" t="s">
        <v>86</v>
      </c>
      <c r="T32" s="1"/>
    </row>
    <row r="33" spans="2:24" ht="13.15" customHeight="1">
      <c r="C33" s="33"/>
      <c r="F33" s="9"/>
      <c r="H33" s="9" t="s">
        <v>84</v>
      </c>
      <c r="J33" s="4" t="s">
        <v>59</v>
      </c>
      <c r="L33" s="4" t="s">
        <v>82</v>
      </c>
      <c r="N33" s="10" t="s">
        <v>69</v>
      </c>
      <c r="R33" s="1" t="s">
        <v>87</v>
      </c>
    </row>
    <row r="34" spans="2:24" ht="13.15" customHeight="1">
      <c r="C34" s="33"/>
      <c r="F34" s="2" t="s">
        <v>88</v>
      </c>
      <c r="G34" s="6" t="s">
        <v>33</v>
      </c>
      <c r="H34" s="32">
        <v>16</v>
      </c>
      <c r="I34" s="6" t="s">
        <v>83</v>
      </c>
      <c r="J34" s="20">
        <v>0.64300000000000002</v>
      </c>
      <c r="K34" s="6" t="s">
        <v>83</v>
      </c>
      <c r="L34" s="26">
        <v>1</v>
      </c>
      <c r="M34" s="6" t="s">
        <v>33</v>
      </c>
      <c r="N34" s="28">
        <f>H34*J34*L34</f>
        <v>10.288</v>
      </c>
    </row>
    <row r="35" spans="2:24" ht="13.15" customHeight="1">
      <c r="C35" s="33"/>
      <c r="F35" s="9" t="s">
        <v>89</v>
      </c>
      <c r="H35" s="9" t="s">
        <v>84</v>
      </c>
      <c r="J35" s="4" t="s">
        <v>45</v>
      </c>
      <c r="L35" s="4" t="s">
        <v>82</v>
      </c>
      <c r="N35" s="10" t="s">
        <v>69</v>
      </c>
    </row>
    <row r="36" spans="2:24" ht="13.15" customHeight="1">
      <c r="C36" s="33"/>
      <c r="F36" s="2" t="s">
        <v>90</v>
      </c>
      <c r="G36" s="6" t="s">
        <v>33</v>
      </c>
      <c r="H36" s="32">
        <v>8.09</v>
      </c>
      <c r="I36" s="6" t="s">
        <v>83</v>
      </c>
      <c r="J36" s="20">
        <v>1.2</v>
      </c>
      <c r="K36" s="6" t="s">
        <v>83</v>
      </c>
      <c r="L36" s="26">
        <v>1</v>
      </c>
      <c r="M36" s="6" t="s">
        <v>33</v>
      </c>
      <c r="N36" s="28">
        <f>H36*J36*L36</f>
        <v>9.7080000000000002</v>
      </c>
    </row>
    <row r="37" spans="2:24" ht="13.15" customHeight="1">
      <c r="C37" s="33"/>
      <c r="F37" s="9" t="s">
        <v>91</v>
      </c>
      <c r="H37" s="9" t="s">
        <v>84</v>
      </c>
      <c r="J37" s="4" t="s">
        <v>45</v>
      </c>
      <c r="L37" s="4" t="s">
        <v>82</v>
      </c>
      <c r="N37" s="10" t="s">
        <v>69</v>
      </c>
    </row>
    <row r="38" spans="2:24" ht="13.15" customHeight="1">
      <c r="C38" s="33"/>
      <c r="F38" s="2" t="s">
        <v>92</v>
      </c>
      <c r="G38" s="6" t="s">
        <v>33</v>
      </c>
      <c r="H38" s="32">
        <v>6.85</v>
      </c>
      <c r="I38" s="6" t="s">
        <v>83</v>
      </c>
      <c r="J38" s="20">
        <v>1.2</v>
      </c>
      <c r="K38" s="6" t="s">
        <v>83</v>
      </c>
      <c r="L38" s="26">
        <v>1</v>
      </c>
      <c r="M38" s="6" t="s">
        <v>33</v>
      </c>
      <c r="N38" s="28">
        <f>H38*J38*L38</f>
        <v>8.2199999999999989</v>
      </c>
    </row>
    <row r="39" spans="2:24" ht="13.15" customHeight="1">
      <c r="C39" s="33"/>
      <c r="F39" s="9" t="s">
        <v>93</v>
      </c>
      <c r="H39" s="9" t="s">
        <v>94</v>
      </c>
      <c r="J39" s="4" t="s">
        <v>81</v>
      </c>
      <c r="L39" s="4" t="s">
        <v>82</v>
      </c>
      <c r="N39" s="10" t="s">
        <v>69</v>
      </c>
    </row>
    <row r="40" spans="2:24" ht="13.15" customHeight="1">
      <c r="C40" s="33"/>
      <c r="F40" s="2" t="s">
        <v>95</v>
      </c>
      <c r="G40" s="6" t="s">
        <v>33</v>
      </c>
      <c r="H40" s="32">
        <v>4.21</v>
      </c>
      <c r="I40" s="6" t="s">
        <v>83</v>
      </c>
      <c r="J40" s="34">
        <v>3.25</v>
      </c>
      <c r="K40" s="6" t="s">
        <v>83</v>
      </c>
      <c r="L40" s="26">
        <v>1</v>
      </c>
      <c r="M40" s="6" t="s">
        <v>33</v>
      </c>
      <c r="N40" s="28">
        <f>H40*J40*L40</f>
        <v>13.682499999999999</v>
      </c>
    </row>
    <row r="41" spans="2:24" ht="13.15" customHeight="1">
      <c r="C41" s="33"/>
      <c r="F41" s="9"/>
      <c r="H41" s="9" t="s">
        <v>84</v>
      </c>
      <c r="J41" s="4" t="s">
        <v>59</v>
      </c>
      <c r="L41" s="4" t="s">
        <v>82</v>
      </c>
      <c r="N41" s="10" t="s">
        <v>69</v>
      </c>
    </row>
    <row r="42" spans="2:24" ht="13.15" customHeight="1">
      <c r="C42" s="33"/>
      <c r="F42" s="2" t="s">
        <v>96</v>
      </c>
      <c r="G42" s="6" t="s">
        <v>33</v>
      </c>
      <c r="H42" s="32">
        <v>16</v>
      </c>
      <c r="I42" s="6" t="s">
        <v>83</v>
      </c>
      <c r="J42" s="20">
        <v>0.25</v>
      </c>
      <c r="K42" s="6" t="s">
        <v>83</v>
      </c>
      <c r="L42" s="26">
        <v>1</v>
      </c>
      <c r="M42" s="6" t="s">
        <v>33</v>
      </c>
      <c r="N42" s="28">
        <f>H42*J42*L42</f>
        <v>4</v>
      </c>
    </row>
    <row r="43" spans="2:24" ht="13.15" customHeight="1">
      <c r="C43" s="29"/>
      <c r="F43" s="4"/>
      <c r="G43" s="10"/>
      <c r="H43" s="9" t="s">
        <v>84</v>
      </c>
      <c r="J43" s="4" t="s">
        <v>59</v>
      </c>
      <c r="L43" s="4" t="s">
        <v>82</v>
      </c>
      <c r="N43" s="10" t="s">
        <v>69</v>
      </c>
      <c r="R43" s="6"/>
      <c r="S43" s="12"/>
      <c r="U43" s="6"/>
      <c r="V43" s="6"/>
      <c r="W43" s="13"/>
      <c r="X43" s="13"/>
    </row>
    <row r="44" spans="2:24" ht="13.15" customHeight="1">
      <c r="C44" s="25"/>
      <c r="D44" s="6"/>
      <c r="E44" s="6"/>
      <c r="F44" s="2" t="s">
        <v>97</v>
      </c>
      <c r="G44" s="6" t="s">
        <v>33</v>
      </c>
      <c r="H44" s="30">
        <v>24</v>
      </c>
      <c r="I44" s="6" t="s">
        <v>83</v>
      </c>
      <c r="J44" s="31">
        <v>0.495</v>
      </c>
      <c r="K44" s="6" t="s">
        <v>83</v>
      </c>
      <c r="L44" s="26">
        <v>1</v>
      </c>
      <c r="M44" s="6" t="s">
        <v>33</v>
      </c>
      <c r="N44" s="28">
        <f>H44*J44*L44</f>
        <v>11.879999999999999</v>
      </c>
      <c r="Q44" s="8" t="s">
        <v>85</v>
      </c>
      <c r="T44" s="1"/>
    </row>
    <row r="45" spans="2:24" ht="13.15" customHeight="1">
      <c r="C45" s="33"/>
      <c r="F45" s="2"/>
      <c r="G45" s="6"/>
      <c r="H45" s="32"/>
      <c r="I45" s="6"/>
      <c r="J45" s="26"/>
      <c r="K45" s="6"/>
      <c r="L45" s="26"/>
      <c r="M45" s="6"/>
      <c r="N45" s="28"/>
    </row>
    <row r="46" spans="2:24" ht="13.15" customHeight="1" thickBot="1">
      <c r="C46" s="33"/>
      <c r="H46" s="35"/>
      <c r="I46" s="6"/>
      <c r="J46" s="35"/>
      <c r="L46" s="2" t="s">
        <v>98</v>
      </c>
      <c r="M46" s="6" t="s">
        <v>33</v>
      </c>
      <c r="N46" s="28">
        <f>H26+N28+N30+N32+N34+N36+N38+N40+N42+N44</f>
        <v>150.58409999999998</v>
      </c>
      <c r="R46" s="165" t="s">
        <v>99</v>
      </c>
      <c r="S46" s="165"/>
      <c r="T46" s="36" t="s">
        <v>100</v>
      </c>
      <c r="U46" s="6" t="s">
        <v>33</v>
      </c>
      <c r="V46" s="37" t="s">
        <v>56</v>
      </c>
      <c r="W46" s="165" t="s">
        <v>101</v>
      </c>
      <c r="X46" s="165"/>
    </row>
    <row r="47" spans="2:24" ht="13.15" customHeight="1">
      <c r="B47" s="1" t="s">
        <v>102</v>
      </c>
      <c r="H47" s="1"/>
    </row>
    <row r="48" spans="2:24" ht="13.15" customHeight="1">
      <c r="B48" s="16" t="s">
        <v>103</v>
      </c>
      <c r="C48" s="9" t="s">
        <v>104</v>
      </c>
      <c r="F48" s="4" t="s">
        <v>105</v>
      </c>
      <c r="H48" s="4" t="s">
        <v>106</v>
      </c>
      <c r="J48" s="9" t="s">
        <v>107</v>
      </c>
      <c r="N48" s="23"/>
    </row>
    <row r="49" spans="2:25" ht="13.15" customHeight="1">
      <c r="B49" s="2" t="s">
        <v>108</v>
      </c>
      <c r="C49" s="3">
        <f>H26</f>
        <v>15.16</v>
      </c>
      <c r="D49" s="6" t="s">
        <v>109</v>
      </c>
      <c r="E49" s="6"/>
      <c r="F49" s="12">
        <f>H12/2</f>
        <v>2.89</v>
      </c>
      <c r="G49" s="6" t="s">
        <v>110</v>
      </c>
      <c r="H49" s="12">
        <f>H16</f>
        <v>1.6</v>
      </c>
      <c r="I49" s="6" t="s">
        <v>111</v>
      </c>
      <c r="J49" s="35">
        <f>C49*(F49+H49)</f>
        <v>68.068399999999997</v>
      </c>
      <c r="K49" s="6"/>
      <c r="N49" s="38"/>
      <c r="R49" s="1" t="s">
        <v>112</v>
      </c>
      <c r="T49" s="1"/>
    </row>
    <row r="50" spans="2:25" ht="13.15" customHeight="1">
      <c r="B50" s="16" t="s">
        <v>113</v>
      </c>
      <c r="C50" s="9" t="s">
        <v>104</v>
      </c>
      <c r="F50" s="4" t="s">
        <v>114</v>
      </c>
      <c r="H50" s="4" t="s">
        <v>106</v>
      </c>
      <c r="J50" s="9" t="s">
        <v>107</v>
      </c>
      <c r="N50" s="23"/>
    </row>
    <row r="51" spans="2:25" ht="13.15" customHeight="1">
      <c r="B51" s="2" t="s">
        <v>115</v>
      </c>
      <c r="C51" s="3">
        <f>L26</f>
        <v>8.83</v>
      </c>
      <c r="D51" s="6" t="s">
        <v>109</v>
      </c>
      <c r="E51" s="6"/>
      <c r="F51" s="12">
        <f>3.25/2</f>
        <v>1.625</v>
      </c>
      <c r="G51" s="6" t="s">
        <v>110</v>
      </c>
      <c r="H51" s="12">
        <f>H16</f>
        <v>1.6</v>
      </c>
      <c r="I51" s="6" t="s">
        <v>111</v>
      </c>
      <c r="J51" s="35">
        <f>C51*(F51+H51)</f>
        <v>28.476750000000003</v>
      </c>
      <c r="K51" s="6"/>
      <c r="N51" s="38"/>
      <c r="R51" s="1" t="s">
        <v>112</v>
      </c>
      <c r="T51" s="1"/>
    </row>
    <row r="52" spans="2:25" ht="13.15" customHeight="1">
      <c r="B52" s="39"/>
      <c r="C52" s="9" t="s">
        <v>104</v>
      </c>
      <c r="F52" s="4" t="s">
        <v>114</v>
      </c>
      <c r="H52" s="4" t="s">
        <v>106</v>
      </c>
      <c r="J52" s="6" t="s">
        <v>116</v>
      </c>
      <c r="K52" s="6"/>
      <c r="L52" s="3" t="s">
        <v>117</v>
      </c>
      <c r="N52" s="9" t="s">
        <v>107</v>
      </c>
      <c r="T52" s="1"/>
    </row>
    <row r="53" spans="2:25" ht="13.15" customHeight="1">
      <c r="B53" s="39" t="s">
        <v>118</v>
      </c>
      <c r="C53" s="3">
        <f>N36</f>
        <v>9.7080000000000002</v>
      </c>
      <c r="D53" s="6" t="s">
        <v>109</v>
      </c>
      <c r="E53" s="6"/>
      <c r="F53" s="12">
        <f>3.25/2</f>
        <v>1.625</v>
      </c>
      <c r="G53" s="6" t="s">
        <v>110</v>
      </c>
      <c r="H53" s="12">
        <f>H16</f>
        <v>1.6</v>
      </c>
      <c r="I53" s="1" t="s">
        <v>119</v>
      </c>
      <c r="J53" s="6">
        <v>0.5</v>
      </c>
      <c r="K53" s="6" t="s">
        <v>83</v>
      </c>
      <c r="L53" s="35">
        <v>0.7</v>
      </c>
      <c r="M53" s="6" t="s">
        <v>33</v>
      </c>
      <c r="N53" s="35">
        <f>C53*(F53+H53)*J53*L53</f>
        <v>10.957905</v>
      </c>
      <c r="Q53" s="1" t="s">
        <v>120</v>
      </c>
      <c r="T53" s="1"/>
    </row>
    <row r="54" spans="2:25" ht="13.15" customHeight="1">
      <c r="B54" s="39"/>
      <c r="C54" s="9" t="s">
        <v>104</v>
      </c>
      <c r="F54" s="4" t="s">
        <v>121</v>
      </c>
      <c r="H54" s="4" t="s">
        <v>106</v>
      </c>
      <c r="J54" s="6" t="s">
        <v>116</v>
      </c>
      <c r="K54" s="6"/>
      <c r="L54" s="3" t="s">
        <v>117</v>
      </c>
      <c r="N54" s="9" t="s">
        <v>107</v>
      </c>
      <c r="T54" s="1"/>
    </row>
    <row r="55" spans="2:25" ht="13.15" customHeight="1">
      <c r="B55" s="39" t="s">
        <v>122</v>
      </c>
      <c r="C55" s="3">
        <f>N38</f>
        <v>8.2199999999999989</v>
      </c>
      <c r="D55" s="6" t="s">
        <v>109</v>
      </c>
      <c r="E55" s="6"/>
      <c r="F55" s="12">
        <f>H12</f>
        <v>5.78</v>
      </c>
      <c r="G55" s="6" t="s">
        <v>110</v>
      </c>
      <c r="H55" s="12">
        <f>H16</f>
        <v>1.6</v>
      </c>
      <c r="I55" s="1" t="s">
        <v>119</v>
      </c>
      <c r="J55" s="6">
        <v>0.5</v>
      </c>
      <c r="K55" s="6" t="s">
        <v>83</v>
      </c>
      <c r="L55" s="35">
        <v>0.7</v>
      </c>
      <c r="M55" s="6" t="s">
        <v>33</v>
      </c>
      <c r="N55" s="35">
        <f>C55*(F55+H55)*J55*L55</f>
        <v>21.232259999999997</v>
      </c>
      <c r="T55" s="1"/>
    </row>
    <row r="56" spans="2:25" ht="13.15" customHeight="1">
      <c r="B56" s="39"/>
      <c r="C56" s="3"/>
      <c r="D56" s="6"/>
      <c r="E56" s="6"/>
      <c r="F56" s="12"/>
      <c r="G56" s="6"/>
      <c r="H56" s="12"/>
      <c r="J56" s="6"/>
      <c r="K56" s="6"/>
      <c r="L56" s="2"/>
      <c r="N56" s="9" t="s">
        <v>107</v>
      </c>
      <c r="T56" s="1"/>
    </row>
    <row r="57" spans="2:25" ht="13.15" customHeight="1">
      <c r="B57" s="39"/>
      <c r="C57" s="3"/>
      <c r="D57" s="6"/>
      <c r="E57" s="6"/>
      <c r="F57" s="12"/>
      <c r="G57" s="6"/>
      <c r="H57" s="12"/>
      <c r="J57" s="6"/>
      <c r="K57" s="6"/>
      <c r="L57" s="165" t="s">
        <v>123</v>
      </c>
      <c r="M57" s="165" t="s">
        <v>33</v>
      </c>
      <c r="N57" s="169">
        <f>J49+J51+N53+N55</f>
        <v>128.73531500000001</v>
      </c>
      <c r="T57" s="1"/>
    </row>
    <row r="58" spans="2:25" ht="13.15" customHeight="1">
      <c r="B58" s="2"/>
      <c r="C58" s="3"/>
      <c r="D58" s="6"/>
      <c r="E58" s="6"/>
      <c r="F58" s="12"/>
      <c r="G58" s="6"/>
      <c r="H58" s="38"/>
      <c r="I58" s="6"/>
      <c r="J58" s="35"/>
      <c r="L58" s="165"/>
      <c r="M58" s="165"/>
      <c r="N58" s="169"/>
      <c r="T58" s="1"/>
    </row>
    <row r="59" spans="2:25" ht="13.15" customHeight="1">
      <c r="B59" s="1" t="s">
        <v>124</v>
      </c>
      <c r="H59" s="1"/>
      <c r="J59" s="2"/>
      <c r="R59" s="1" t="s">
        <v>125</v>
      </c>
    </row>
    <row r="60" spans="2:25" ht="13.15" customHeight="1" thickBot="1">
      <c r="C60" s="9" t="s">
        <v>104</v>
      </c>
      <c r="F60" s="4" t="s">
        <v>31</v>
      </c>
      <c r="H60" s="9" t="s">
        <v>107</v>
      </c>
      <c r="J60" s="2"/>
      <c r="R60" s="165" t="s">
        <v>99</v>
      </c>
      <c r="S60" s="165"/>
      <c r="T60" s="171" t="s">
        <v>126</v>
      </c>
      <c r="U60" s="165" t="s">
        <v>33</v>
      </c>
      <c r="V60" s="37" t="s">
        <v>56</v>
      </c>
      <c r="W60" s="165" t="s">
        <v>83</v>
      </c>
      <c r="X60" s="172">
        <v>2</v>
      </c>
      <c r="Y60" s="172"/>
    </row>
    <row r="61" spans="2:25" ht="13.15" customHeight="1">
      <c r="B61" s="2" t="s">
        <v>127</v>
      </c>
      <c r="C61" s="35">
        <f>N28</f>
        <v>38.037600000000005</v>
      </c>
      <c r="D61" s="6" t="s">
        <v>83</v>
      </c>
      <c r="E61" s="6"/>
      <c r="F61" s="26">
        <f>L10</f>
        <v>1.55</v>
      </c>
      <c r="G61" s="6" t="s">
        <v>33</v>
      </c>
      <c r="H61" s="35">
        <f>C61*F61</f>
        <v>58.958280000000009</v>
      </c>
      <c r="Q61" s="10"/>
      <c r="R61" s="165"/>
      <c r="S61" s="165"/>
      <c r="T61" s="171"/>
      <c r="U61" s="165"/>
      <c r="V61" s="6" t="s">
        <v>128</v>
      </c>
      <c r="W61" s="165"/>
      <c r="X61" s="1" t="s">
        <v>129</v>
      </c>
    </row>
    <row r="62" spans="2:25" ht="13.15" customHeight="1">
      <c r="C62" s="9" t="s">
        <v>104</v>
      </c>
      <c r="F62" s="4" t="s">
        <v>31</v>
      </c>
      <c r="H62" s="9" t="s">
        <v>107</v>
      </c>
      <c r="Q62" s="6"/>
      <c r="T62" s="1"/>
    </row>
    <row r="63" spans="2:25" ht="13.15" customHeight="1">
      <c r="B63" s="2" t="s">
        <v>130</v>
      </c>
      <c r="C63" s="35">
        <f>N30</f>
        <v>23.4</v>
      </c>
      <c r="D63" s="6" t="s">
        <v>83</v>
      </c>
      <c r="E63" s="6"/>
      <c r="F63" s="26">
        <f>L12</f>
        <v>1.55</v>
      </c>
      <c r="G63" s="6" t="s">
        <v>33</v>
      </c>
      <c r="H63" s="35">
        <f>C63*F63</f>
        <v>36.269999999999996</v>
      </c>
      <c r="P63" s="4"/>
      <c r="Q63" s="10"/>
      <c r="R63" s="6" t="s">
        <v>131</v>
      </c>
      <c r="S63" s="163">
        <f>1.1/6</f>
        <v>0.18333333333333335</v>
      </c>
      <c r="T63" s="163"/>
    </row>
    <row r="64" spans="2:25" ht="13.15" customHeight="1">
      <c r="C64" s="9" t="s">
        <v>104</v>
      </c>
      <c r="F64" s="4" t="s">
        <v>31</v>
      </c>
      <c r="H64" s="9" t="s">
        <v>107</v>
      </c>
      <c r="J64" s="2"/>
      <c r="P64" s="4"/>
      <c r="Q64" s="10"/>
      <c r="R64" s="6"/>
      <c r="S64" s="12"/>
      <c r="T64" s="12"/>
    </row>
    <row r="65" spans="2:20" ht="13.15" customHeight="1">
      <c r="B65" s="2" t="s">
        <v>132</v>
      </c>
      <c r="C65" s="35">
        <f>N32</f>
        <v>16.207999999999998</v>
      </c>
      <c r="D65" s="6" t="s">
        <v>83</v>
      </c>
      <c r="E65" s="6"/>
      <c r="F65" s="26">
        <f>L14</f>
        <v>0.92500000000000004</v>
      </c>
      <c r="G65" s="6" t="s">
        <v>33</v>
      </c>
      <c r="H65" s="35">
        <f>C65*F65</f>
        <v>14.9924</v>
      </c>
      <c r="J65" s="2"/>
      <c r="L65" s="9" t="s">
        <v>107</v>
      </c>
      <c r="P65" s="2"/>
      <c r="Q65" s="6"/>
      <c r="R65" s="1" t="s">
        <v>133</v>
      </c>
      <c r="T65" s="1"/>
    </row>
    <row r="66" spans="2:20" ht="13.15" customHeight="1">
      <c r="C66" s="9" t="s">
        <v>104</v>
      </c>
      <c r="F66" s="4" t="s">
        <v>31</v>
      </c>
      <c r="H66" s="9" t="s">
        <v>107</v>
      </c>
      <c r="J66" s="165" t="s">
        <v>134</v>
      </c>
      <c r="K66" s="165" t="s">
        <v>33</v>
      </c>
      <c r="L66" s="169">
        <f>H61+H63+H65+H67+H69+H71+H73+H75</f>
        <v>152.98855500000002</v>
      </c>
      <c r="P66" s="4"/>
      <c r="Q66" s="10"/>
      <c r="R66" s="6"/>
      <c r="S66" s="12"/>
      <c r="T66" s="12"/>
    </row>
    <row r="67" spans="2:20" ht="13.15" customHeight="1">
      <c r="B67" s="2" t="s">
        <v>135</v>
      </c>
      <c r="C67" s="35">
        <f>N34</f>
        <v>10.288</v>
      </c>
      <c r="D67" s="6" t="s">
        <v>83</v>
      </c>
      <c r="E67" s="6"/>
      <c r="F67" s="26">
        <f>L16</f>
        <v>1.9875</v>
      </c>
      <c r="G67" s="6" t="s">
        <v>33</v>
      </c>
      <c r="H67" s="35">
        <f>C67*F67</f>
        <v>20.447400000000002</v>
      </c>
      <c r="J67" s="165"/>
      <c r="K67" s="165"/>
      <c r="L67" s="169"/>
      <c r="P67" s="2"/>
      <c r="Q67" s="6"/>
      <c r="R67" s="1" t="s">
        <v>133</v>
      </c>
      <c r="T67" s="1"/>
    </row>
    <row r="68" spans="2:20" ht="13.15" customHeight="1">
      <c r="C68" s="9" t="s">
        <v>104</v>
      </c>
      <c r="F68" s="4" t="s">
        <v>31</v>
      </c>
      <c r="H68" s="9" t="s">
        <v>107</v>
      </c>
      <c r="J68" s="2"/>
      <c r="P68" s="2"/>
      <c r="Q68" s="6"/>
      <c r="T68" s="1"/>
    </row>
    <row r="69" spans="2:20" ht="13.15" customHeight="1">
      <c r="B69" s="2" t="s">
        <v>136</v>
      </c>
      <c r="C69" s="35">
        <f>N36</f>
        <v>9.7080000000000002</v>
      </c>
      <c r="D69" s="6" t="s">
        <v>83</v>
      </c>
      <c r="E69" s="6"/>
      <c r="F69" s="26">
        <f>H20</f>
        <v>0.95</v>
      </c>
      <c r="G69" s="6" t="s">
        <v>33</v>
      </c>
      <c r="H69" s="35">
        <f>C69*F69</f>
        <v>9.2225999999999999</v>
      </c>
      <c r="J69" s="2"/>
      <c r="P69" s="2"/>
      <c r="Q69" s="6"/>
      <c r="T69" s="1"/>
    </row>
    <row r="70" spans="2:20" ht="13.15" customHeight="1">
      <c r="C70" s="9" t="s">
        <v>104</v>
      </c>
      <c r="F70" s="4" t="s">
        <v>31</v>
      </c>
      <c r="H70" s="9" t="s">
        <v>107</v>
      </c>
      <c r="J70" s="2"/>
      <c r="P70" s="2"/>
      <c r="Q70" s="6"/>
      <c r="T70" s="1"/>
    </row>
    <row r="71" spans="2:20" ht="13.15" customHeight="1">
      <c r="B71" s="2" t="s">
        <v>137</v>
      </c>
      <c r="C71" s="35">
        <f>N38</f>
        <v>8.2199999999999989</v>
      </c>
      <c r="D71" s="6" t="s">
        <v>83</v>
      </c>
      <c r="E71" s="6"/>
      <c r="F71" s="26">
        <f>L20</f>
        <v>0.95</v>
      </c>
      <c r="G71" s="6" t="s">
        <v>33</v>
      </c>
      <c r="H71" s="35">
        <f>C71*F71</f>
        <v>7.8089999999999984</v>
      </c>
      <c r="J71" s="2"/>
      <c r="P71" s="2"/>
      <c r="Q71" s="6"/>
      <c r="T71" s="1"/>
    </row>
    <row r="72" spans="2:20" ht="13.15" customHeight="1">
      <c r="C72" s="9" t="s">
        <v>104</v>
      </c>
      <c r="F72" s="4" t="s">
        <v>31</v>
      </c>
      <c r="H72" s="9" t="s">
        <v>107</v>
      </c>
      <c r="J72" s="2"/>
      <c r="P72" s="2"/>
      <c r="Q72" s="6"/>
      <c r="T72" s="1"/>
    </row>
    <row r="73" spans="2:20" ht="13.15" customHeight="1">
      <c r="B73" s="2" t="s">
        <v>138</v>
      </c>
      <c r="C73" s="35">
        <f>N40</f>
        <v>13.682499999999999</v>
      </c>
      <c r="D73" s="6" t="s">
        <v>83</v>
      </c>
      <c r="E73" s="6"/>
      <c r="F73" s="26">
        <f>H22</f>
        <v>0.35</v>
      </c>
      <c r="G73" s="6" t="s">
        <v>33</v>
      </c>
      <c r="H73" s="35">
        <f>C73*F73</f>
        <v>4.7888749999999991</v>
      </c>
      <c r="J73" s="2"/>
      <c r="P73" s="2"/>
      <c r="Q73" s="6"/>
      <c r="T73" s="1"/>
    </row>
    <row r="74" spans="2:20" ht="13.15" customHeight="1">
      <c r="C74" s="9" t="s">
        <v>104</v>
      </c>
      <c r="F74" s="4" t="s">
        <v>31</v>
      </c>
      <c r="H74" s="9" t="s">
        <v>107</v>
      </c>
      <c r="J74" s="2"/>
      <c r="P74" s="2"/>
      <c r="Q74" s="6"/>
      <c r="T74" s="1"/>
    </row>
    <row r="75" spans="2:20" ht="13.15" customHeight="1">
      <c r="B75" s="2" t="s">
        <v>139</v>
      </c>
      <c r="C75" s="35">
        <f>N42</f>
        <v>4</v>
      </c>
      <c r="D75" s="6" t="s">
        <v>83</v>
      </c>
      <c r="E75" s="6"/>
      <c r="F75" s="26">
        <f>L22</f>
        <v>0.125</v>
      </c>
      <c r="G75" s="6" t="s">
        <v>33</v>
      </c>
      <c r="H75" s="35">
        <f>C75*F75</f>
        <v>0.5</v>
      </c>
      <c r="J75" s="2"/>
      <c r="P75" s="2"/>
      <c r="Q75" s="6"/>
      <c r="T75" s="1"/>
    </row>
    <row r="76" spans="2:20" ht="13.15" customHeight="1">
      <c r="C76" s="9" t="s">
        <v>104</v>
      </c>
      <c r="F76" s="4" t="s">
        <v>31</v>
      </c>
      <c r="H76" s="9" t="s">
        <v>107</v>
      </c>
      <c r="J76" s="2"/>
      <c r="P76" s="2"/>
      <c r="Q76" s="6"/>
      <c r="T76" s="1"/>
    </row>
    <row r="77" spans="2:20" ht="13.15" customHeight="1">
      <c r="B77" s="2" t="s">
        <v>140</v>
      </c>
      <c r="C77" s="35">
        <f>N44</f>
        <v>11.879999999999999</v>
      </c>
      <c r="D77" s="6" t="s">
        <v>83</v>
      </c>
      <c r="E77" s="6"/>
      <c r="F77" s="26">
        <f>H24</f>
        <v>0.35</v>
      </c>
      <c r="G77" s="6" t="s">
        <v>33</v>
      </c>
      <c r="H77" s="35">
        <f>C77*F77</f>
        <v>4.1579999999999995</v>
      </c>
      <c r="J77" s="2"/>
      <c r="P77" s="2"/>
      <c r="Q77" s="6"/>
      <c r="T77" s="1"/>
    </row>
    <row r="78" spans="2:20" ht="13.15" customHeight="1">
      <c r="H78" s="1"/>
      <c r="P78" s="4"/>
      <c r="R78" s="40" t="e">
        <f>IF(X28&lt;=#REF!/6,"検討式１","検討式２")</f>
        <v>#REF!</v>
      </c>
      <c r="T78" s="1" t="s">
        <v>141</v>
      </c>
    </row>
    <row r="79" spans="2:20" ht="13.15" customHeight="1">
      <c r="B79" s="1" t="s">
        <v>142</v>
      </c>
      <c r="H79" s="1"/>
      <c r="P79" s="2"/>
      <c r="T79" s="1"/>
    </row>
    <row r="80" spans="2:20" ht="13.15" customHeight="1">
      <c r="B80" s="16"/>
      <c r="C80" s="9" t="s">
        <v>107</v>
      </c>
      <c r="F80" s="9" t="s">
        <v>107</v>
      </c>
      <c r="H80" s="4"/>
      <c r="T80" s="1"/>
    </row>
    <row r="81" spans="2:25" ht="13.15" customHeight="1" thickBot="1">
      <c r="B81" s="2" t="s">
        <v>143</v>
      </c>
      <c r="C81" s="3">
        <f>L66</f>
        <v>152.98855500000002</v>
      </c>
      <c r="D81" s="41" t="s">
        <v>144</v>
      </c>
      <c r="E81" s="41"/>
      <c r="F81" s="12">
        <f>J49+J51+N53+N55</f>
        <v>128.73531500000001</v>
      </c>
      <c r="G81" s="6" t="s">
        <v>33</v>
      </c>
      <c r="H81" s="42">
        <f>C81/F81</f>
        <v>1.188396167749308</v>
      </c>
      <c r="I81" s="6" t="str">
        <f>IF(H81&gt;J81,"＞",IF(H81&lt;J81,"＜"))</f>
        <v>＞</v>
      </c>
      <c r="J81" s="12">
        <v>1</v>
      </c>
      <c r="K81" s="1" t="s">
        <v>145</v>
      </c>
      <c r="L81" s="43" t="str">
        <f>IF(H81&gt;J81,"OK",IF(H81&lt;J81,"NG"))</f>
        <v>OK</v>
      </c>
      <c r="R81" s="171" t="s">
        <v>126</v>
      </c>
      <c r="S81" s="176" t="s">
        <v>33</v>
      </c>
      <c r="T81" s="177" t="e">
        <f>#REF!</f>
        <v>#REF!</v>
      </c>
      <c r="U81" s="165" t="s">
        <v>83</v>
      </c>
      <c r="V81" s="172">
        <v>2</v>
      </c>
      <c r="W81" s="172"/>
      <c r="X81" s="172"/>
      <c r="Y81" s="172"/>
    </row>
    <row r="82" spans="2:25" ht="13.15" customHeight="1">
      <c r="B82" s="18"/>
      <c r="C82" s="9"/>
      <c r="D82" s="10"/>
      <c r="E82" s="10"/>
      <c r="F82" s="9"/>
      <c r="G82" s="10"/>
      <c r="H82" s="9"/>
      <c r="R82" s="171"/>
      <c r="S82" s="176"/>
      <c r="T82" s="163"/>
      <c r="U82" s="165"/>
      <c r="V82" s="173" t="s">
        <v>146</v>
      </c>
      <c r="W82" s="173"/>
      <c r="X82" s="173"/>
      <c r="Y82" s="173"/>
    </row>
    <row r="83" spans="2:25" ht="13.15" customHeight="1">
      <c r="B83" s="1" t="s">
        <v>147</v>
      </c>
      <c r="C83" s="12"/>
      <c r="D83" s="6"/>
      <c r="E83" s="6"/>
      <c r="F83" s="47" t="s">
        <v>148</v>
      </c>
      <c r="G83" s="48" t="s">
        <v>77</v>
      </c>
      <c r="H83" s="49">
        <f>L95</f>
        <v>200</v>
      </c>
      <c r="R83" s="50"/>
      <c r="S83" s="50"/>
      <c r="T83" s="44"/>
      <c r="U83" s="50"/>
      <c r="V83" s="50"/>
      <c r="W83" s="50"/>
      <c r="X83" s="50"/>
    </row>
    <row r="84" spans="2:25" ht="13.15" customHeight="1">
      <c r="B84" s="16"/>
      <c r="C84" s="51" t="s">
        <v>149</v>
      </c>
      <c r="F84" s="21" t="s">
        <v>150</v>
      </c>
      <c r="H84" s="21"/>
      <c r="J84" s="9" t="s">
        <v>151</v>
      </c>
      <c r="L84" s="33"/>
      <c r="S84" s="1" t="s">
        <v>33</v>
      </c>
      <c r="T84" s="52" t="e">
        <f>(T81*(V81/[3]!TEXTCALC2(V82)))</f>
        <v>#REF!</v>
      </c>
      <c r="U84" s="52"/>
      <c r="V84" s="52"/>
      <c r="W84" s="52"/>
      <c r="X84" s="52"/>
    </row>
    <row r="85" spans="2:25" ht="13.15" customHeight="1">
      <c r="B85" s="2" t="s">
        <v>152</v>
      </c>
      <c r="C85" s="53">
        <v>13</v>
      </c>
      <c r="D85" s="6" t="s">
        <v>145</v>
      </c>
      <c r="E85" s="6"/>
      <c r="F85" s="54">
        <f>IF(C85=10,71,(IF(C85=13,127,(IF(C85=16,199,287)))))</f>
        <v>127</v>
      </c>
      <c r="G85" s="6" t="s">
        <v>153</v>
      </c>
      <c r="H85" s="55" t="s">
        <v>154</v>
      </c>
      <c r="I85" s="6" t="s">
        <v>33</v>
      </c>
      <c r="J85" s="54">
        <v>295</v>
      </c>
      <c r="K85" s="23" t="s">
        <v>155</v>
      </c>
      <c r="L85" s="35"/>
      <c r="R85" s="6"/>
      <c r="S85" s="12"/>
      <c r="T85" s="52"/>
      <c r="U85" s="52"/>
      <c r="V85" s="52"/>
      <c r="W85" s="52"/>
      <c r="X85" s="52"/>
    </row>
    <row r="86" spans="2:25" ht="13.15" customHeight="1">
      <c r="C86" s="4" t="s">
        <v>156</v>
      </c>
      <c r="D86" s="10"/>
      <c r="E86" s="10"/>
      <c r="F86" s="4" t="s">
        <v>157</v>
      </c>
      <c r="H86" s="1"/>
      <c r="I86" s="10"/>
      <c r="J86" s="4" t="s">
        <v>157</v>
      </c>
      <c r="K86" s="23"/>
      <c r="L86" s="35"/>
      <c r="R86" s="6"/>
      <c r="S86" s="12"/>
      <c r="T86" s="52"/>
      <c r="U86" s="52"/>
      <c r="V86" s="52"/>
      <c r="W86" s="52"/>
      <c r="X86" s="52"/>
    </row>
    <row r="87" spans="2:25" ht="13.15" customHeight="1">
      <c r="B87" s="2" t="s">
        <v>158</v>
      </c>
      <c r="C87" s="54">
        <f>L4*1000</f>
        <v>200</v>
      </c>
      <c r="D87" s="6" t="s">
        <v>159</v>
      </c>
      <c r="E87" s="6"/>
      <c r="F87" s="56">
        <v>50</v>
      </c>
      <c r="G87" s="6" t="s">
        <v>160</v>
      </c>
      <c r="H87" s="54"/>
      <c r="I87" s="6" t="s">
        <v>33</v>
      </c>
      <c r="J87" s="57">
        <f>(C87-F87)</f>
        <v>150</v>
      </c>
      <c r="K87" s="23"/>
      <c r="L87" s="35"/>
      <c r="R87" s="6"/>
      <c r="S87" s="12"/>
      <c r="T87" s="52"/>
      <c r="U87" s="52"/>
      <c r="V87" s="52"/>
      <c r="W87" s="52"/>
      <c r="X87" s="52"/>
    </row>
    <row r="88" spans="2:25" ht="13.15" customHeight="1">
      <c r="C88" s="4" t="s">
        <v>156</v>
      </c>
      <c r="D88" s="10"/>
      <c r="E88" s="10"/>
      <c r="F88" s="4"/>
      <c r="H88" s="1"/>
      <c r="I88" s="10"/>
      <c r="J88" s="4" t="s">
        <v>157</v>
      </c>
      <c r="K88" s="10"/>
      <c r="L88" s="4"/>
      <c r="T88" s="9" t="s">
        <v>161</v>
      </c>
      <c r="V88" s="9" t="s">
        <v>162</v>
      </c>
    </row>
    <row r="89" spans="2:25" ht="13.15" customHeight="1">
      <c r="B89" s="2" t="s">
        <v>163</v>
      </c>
      <c r="C89" s="57">
        <f>J87</f>
        <v>150</v>
      </c>
      <c r="D89" s="6" t="s">
        <v>83</v>
      </c>
      <c r="E89" s="6"/>
      <c r="F89" s="54">
        <v>0.875</v>
      </c>
      <c r="H89" s="1"/>
      <c r="I89" s="6" t="s">
        <v>33</v>
      </c>
      <c r="J89" s="57">
        <f>C89*F89</f>
        <v>131.25</v>
      </c>
      <c r="K89" s="6"/>
      <c r="L89" s="6"/>
      <c r="O89" s="2"/>
      <c r="R89" s="2" t="s">
        <v>164</v>
      </c>
      <c r="S89" s="2" t="s">
        <v>33</v>
      </c>
      <c r="T89" s="25" t="e">
        <f>T84</f>
        <v>#REF!</v>
      </c>
      <c r="U89" s="6" t="e">
        <f>IF(T89&lt;V89,"＜",IF(T89&gt;V89,"＞"))</f>
        <v>#REF!</v>
      </c>
      <c r="V89" s="25">
        <v>53</v>
      </c>
      <c r="W89" s="1" t="s">
        <v>145</v>
      </c>
      <c r="X89" s="43" t="e">
        <f>IF(T89&gt;V89,"NG",IF(T89&lt;V89,"OK"))</f>
        <v>#REF!</v>
      </c>
    </row>
    <row r="90" spans="2:25" ht="13.15" customHeight="1">
      <c r="C90" s="9" t="s">
        <v>107</v>
      </c>
      <c r="D90" s="10"/>
      <c r="E90" s="10"/>
      <c r="F90" s="9" t="s">
        <v>151</v>
      </c>
      <c r="G90" s="10"/>
      <c r="H90" s="9" t="s">
        <v>157</v>
      </c>
      <c r="I90" s="10"/>
      <c r="J90" s="9" t="s">
        <v>150</v>
      </c>
      <c r="O90" s="58"/>
      <c r="T90" s="50"/>
      <c r="U90" s="50"/>
      <c r="V90" s="59" t="s">
        <v>165</v>
      </c>
    </row>
    <row r="91" spans="2:25" ht="13.15" customHeight="1">
      <c r="B91" s="2" t="s">
        <v>166</v>
      </c>
      <c r="C91" s="35">
        <f>J49</f>
        <v>68.068399999999997</v>
      </c>
      <c r="D91" s="6" t="s">
        <v>167</v>
      </c>
      <c r="E91" s="6"/>
      <c r="F91" s="6">
        <f>J85</f>
        <v>295</v>
      </c>
      <c r="G91" s="6" t="s">
        <v>83</v>
      </c>
      <c r="H91" s="25">
        <f>J89</f>
        <v>131.25</v>
      </c>
      <c r="I91" s="6" t="s">
        <v>111</v>
      </c>
      <c r="J91" s="60">
        <f>(C91*1000*1000)/(F91*H91)</f>
        <v>1758.021630347054</v>
      </c>
      <c r="T91" s="1"/>
    </row>
    <row r="92" spans="2:25" ht="13.15" customHeight="1">
      <c r="B92" s="2"/>
      <c r="C92" s="12"/>
      <c r="D92" s="6"/>
      <c r="E92" s="6"/>
      <c r="F92" s="6"/>
      <c r="G92" s="6"/>
      <c r="H92" s="25"/>
      <c r="I92" s="6"/>
      <c r="J92" s="61"/>
      <c r="T92" s="1"/>
    </row>
    <row r="93" spans="2:25" ht="13.15" customHeight="1">
      <c r="B93" s="2" t="s">
        <v>168</v>
      </c>
      <c r="C93" s="12" t="s">
        <v>169</v>
      </c>
      <c r="D93" s="6" t="s">
        <v>144</v>
      </c>
      <c r="E93" s="6"/>
      <c r="F93" s="6" t="s">
        <v>128</v>
      </c>
      <c r="G93" s="6" t="s">
        <v>33</v>
      </c>
      <c r="H93" s="60">
        <f>J91</f>
        <v>1758.021630347054</v>
      </c>
      <c r="I93" s="6" t="s">
        <v>144</v>
      </c>
      <c r="J93" s="60">
        <f>F85</f>
        <v>127</v>
      </c>
      <c r="K93" s="6" t="s">
        <v>33</v>
      </c>
      <c r="L93" s="52">
        <f>H93/J93</f>
        <v>13.842690002732709</v>
      </c>
      <c r="M93" s="1" t="s">
        <v>170</v>
      </c>
      <c r="T93" s="1"/>
    </row>
    <row r="94" spans="2:25" ht="13.15" customHeight="1">
      <c r="C94" s="174" t="s">
        <v>171</v>
      </c>
      <c r="D94" s="174"/>
      <c r="E94" s="174"/>
      <c r="F94" s="174"/>
      <c r="G94" s="174"/>
      <c r="H94" s="174"/>
      <c r="J94" s="9" t="s">
        <v>172</v>
      </c>
      <c r="R94" s="6"/>
      <c r="S94" s="6"/>
      <c r="U94" s="6"/>
      <c r="V94" s="6"/>
    </row>
    <row r="95" spans="2:25" ht="13.15" customHeight="1">
      <c r="B95" s="2" t="s">
        <v>173</v>
      </c>
      <c r="C95" s="175">
        <v>1000</v>
      </c>
      <c r="D95" s="175"/>
      <c r="E95" s="61"/>
      <c r="F95" s="6" t="s">
        <v>144</v>
      </c>
      <c r="G95" s="163">
        <f>L93</f>
        <v>13.842690002732709</v>
      </c>
      <c r="H95" s="163"/>
      <c r="I95" s="6" t="s">
        <v>33</v>
      </c>
      <c r="J95" s="62">
        <f>C95/G95</f>
        <v>72.240294321594163</v>
      </c>
      <c r="K95" s="6" t="str">
        <f>IF(J95&lt;L95,"＜",IF(J95&gt;L95,"＞"))</f>
        <v>＜</v>
      </c>
      <c r="L95" s="63">
        <v>200</v>
      </c>
      <c r="M95" s="1" t="s">
        <v>145</v>
      </c>
      <c r="N95" s="43" t="str">
        <f>IF(J95&gt;L95,"OK",IF(J95&lt;L95,"NG"))</f>
        <v>NG</v>
      </c>
      <c r="T95" s="3"/>
    </row>
    <row r="96" spans="2:25" ht="13.15" customHeight="1">
      <c r="B96" s="2"/>
      <c r="H96" s="1"/>
      <c r="N96" s="43"/>
      <c r="R96" s="165"/>
      <c r="S96" s="165"/>
      <c r="T96" s="165"/>
      <c r="U96" s="165"/>
      <c r="V96" s="165"/>
      <c r="X96" s="10"/>
    </row>
    <row r="97" spans="2:24" ht="13.15" customHeight="1">
      <c r="B97" s="1" t="s">
        <v>174</v>
      </c>
      <c r="H97" s="1"/>
      <c r="L97" s="64"/>
      <c r="R97" s="165"/>
      <c r="S97" s="165"/>
      <c r="T97" s="163"/>
      <c r="U97" s="163"/>
      <c r="V97" s="163"/>
      <c r="W97" s="6"/>
      <c r="X97" s="65"/>
    </row>
    <row r="98" spans="2:24" ht="13.15" customHeight="1">
      <c r="C98" s="9" t="s">
        <v>104</v>
      </c>
      <c r="F98" s="4" t="s">
        <v>175</v>
      </c>
      <c r="H98" s="4" t="s">
        <v>82</v>
      </c>
      <c r="J98" s="9" t="s">
        <v>161</v>
      </c>
      <c r="L98" s="9"/>
      <c r="O98" s="50"/>
      <c r="R98" s="9"/>
      <c r="T98" s="4"/>
      <c r="V98" s="4"/>
      <c r="X98" s="10"/>
    </row>
    <row r="99" spans="2:24" ht="13.15" customHeight="1">
      <c r="B99" s="2" t="s">
        <v>176</v>
      </c>
      <c r="C99" s="52">
        <f>N46</f>
        <v>150.58409999999998</v>
      </c>
      <c r="D99" s="41" t="s">
        <v>167</v>
      </c>
      <c r="E99" s="41"/>
      <c r="F99" s="12">
        <f>H6</f>
        <v>0</v>
      </c>
      <c r="G99" s="6" t="s">
        <v>83</v>
      </c>
      <c r="H99" s="12">
        <f>H8</f>
        <v>1</v>
      </c>
      <c r="I99" s="6" t="s">
        <v>111</v>
      </c>
      <c r="J99" s="12" t="e">
        <f>C99/(F99*H99)</f>
        <v>#DIV/0!</v>
      </c>
      <c r="K99" s="6"/>
      <c r="L99" s="25"/>
      <c r="N99" s="43"/>
      <c r="O99" s="50"/>
      <c r="Q99" s="10"/>
      <c r="R99" s="165"/>
      <c r="S99" s="165"/>
      <c r="T99" s="52"/>
      <c r="U99" s="6"/>
      <c r="V99" s="66"/>
      <c r="W99" s="165"/>
      <c r="X99" s="178"/>
    </row>
    <row r="100" spans="2:24" ht="13.15" customHeight="1">
      <c r="B100" s="50"/>
      <c r="C100" s="50"/>
      <c r="D100" s="50"/>
      <c r="E100" s="50"/>
      <c r="F100" s="50"/>
      <c r="G100" s="50"/>
      <c r="H100" s="44"/>
      <c r="I100" s="50"/>
      <c r="J100" s="50"/>
      <c r="K100" s="50"/>
      <c r="L100" s="59"/>
      <c r="O100" s="50"/>
      <c r="Q100" s="6"/>
      <c r="R100" s="165"/>
      <c r="S100" s="165"/>
      <c r="T100" s="163"/>
      <c r="U100" s="163"/>
      <c r="V100" s="163"/>
      <c r="W100" s="165"/>
      <c r="X100" s="178"/>
    </row>
    <row r="101" spans="2:24" ht="17.25" customHeight="1">
      <c r="Q101" s="6"/>
      <c r="R101" s="6"/>
      <c r="S101" s="6"/>
      <c r="T101" s="12"/>
      <c r="U101" s="12"/>
      <c r="V101" s="12"/>
      <c r="W101" s="6"/>
      <c r="X101" s="3"/>
    </row>
    <row r="102" spans="2:24" ht="17.25" customHeight="1">
      <c r="C102" s="168" t="s">
        <v>29</v>
      </c>
      <c r="D102" s="168"/>
      <c r="E102" s="168"/>
      <c r="F102" s="168"/>
      <c r="G102" s="168"/>
      <c r="H102" s="168"/>
      <c r="I102" s="168"/>
      <c r="P102" s="6"/>
      <c r="Q102" s="6"/>
      <c r="R102" s="6"/>
      <c r="S102" s="6"/>
      <c r="T102" s="12"/>
      <c r="U102" s="12"/>
      <c r="V102" s="12"/>
      <c r="W102" s="6"/>
      <c r="X102" s="3"/>
    </row>
    <row r="103" spans="2:24">
      <c r="C103" s="168"/>
      <c r="D103" s="168"/>
      <c r="E103" s="168"/>
      <c r="F103" s="168"/>
      <c r="G103" s="168"/>
      <c r="H103" s="168"/>
      <c r="I103" s="168"/>
      <c r="P103" s="6"/>
      <c r="Q103" s="168" t="s">
        <v>177</v>
      </c>
      <c r="R103" s="168"/>
      <c r="S103" s="168"/>
      <c r="T103" s="168"/>
      <c r="U103" s="168"/>
      <c r="V103" s="168"/>
    </row>
    <row r="104" spans="2:24">
      <c r="H104" s="1"/>
      <c r="P104" s="6"/>
      <c r="Q104" s="168"/>
      <c r="R104" s="168"/>
      <c r="S104" s="168"/>
      <c r="T104" s="168"/>
      <c r="U104" s="168"/>
      <c r="V104" s="168"/>
    </row>
    <row r="105" spans="2:24">
      <c r="C105" s="8" t="s">
        <v>35</v>
      </c>
      <c r="H105" s="1"/>
      <c r="P105" s="6"/>
      <c r="R105" s="6"/>
      <c r="S105" s="12"/>
      <c r="U105" s="6"/>
      <c r="V105" s="6"/>
    </row>
    <row r="106" spans="2:24">
      <c r="H106" s="1"/>
      <c r="I106" s="1" t="s">
        <v>36</v>
      </c>
      <c r="P106" s="6"/>
      <c r="Q106" s="8" t="s">
        <v>62</v>
      </c>
      <c r="S106" s="12"/>
      <c r="U106" s="6"/>
      <c r="V106" s="6"/>
      <c r="W106" s="13"/>
      <c r="X106" s="13"/>
    </row>
    <row r="107" spans="2:24">
      <c r="D107" s="1" t="s">
        <v>39</v>
      </c>
      <c r="F107" s="163">
        <f>N28</f>
        <v>38.037600000000005</v>
      </c>
      <c r="G107" s="163"/>
      <c r="H107" s="1"/>
      <c r="I107" s="1" t="s">
        <v>40</v>
      </c>
      <c r="J107" s="164">
        <f>L10</f>
        <v>1.55</v>
      </c>
      <c r="K107" s="164"/>
      <c r="R107" s="6"/>
      <c r="S107" s="12"/>
      <c r="U107" s="6"/>
      <c r="V107" s="6"/>
      <c r="W107" s="13"/>
      <c r="X107" s="13"/>
    </row>
    <row r="108" spans="2:24">
      <c r="D108" s="1" t="s">
        <v>43</v>
      </c>
      <c r="F108" s="163">
        <f>N30</f>
        <v>23.4</v>
      </c>
      <c r="G108" s="163"/>
      <c r="H108" s="1"/>
      <c r="I108" s="1" t="s">
        <v>44</v>
      </c>
      <c r="J108" s="164">
        <f>H10</f>
        <v>0.7</v>
      </c>
      <c r="K108" s="164"/>
      <c r="R108" s="165" t="s">
        <v>74</v>
      </c>
      <c r="S108" s="163" t="s">
        <v>75</v>
      </c>
      <c r="T108" s="19" t="s">
        <v>178</v>
      </c>
      <c r="U108" s="164" t="s">
        <v>75</v>
      </c>
      <c r="V108" s="67">
        <v>3.92</v>
      </c>
      <c r="W108" s="165" t="s">
        <v>75</v>
      </c>
      <c r="X108" s="164">
        <f>V108/V109</f>
        <v>2.6031964862160084E-2</v>
      </c>
    </row>
    <row r="109" spans="2:24">
      <c r="D109" s="1" t="s">
        <v>47</v>
      </c>
      <c r="F109" s="163">
        <f>N32</f>
        <v>16.207999999999998</v>
      </c>
      <c r="G109" s="163"/>
      <c r="H109" s="1"/>
      <c r="I109" s="1" t="s">
        <v>48</v>
      </c>
      <c r="J109" s="164">
        <f>L12</f>
        <v>1.55</v>
      </c>
      <c r="K109" s="164"/>
      <c r="R109" s="165"/>
      <c r="S109" s="163"/>
      <c r="T109" s="6" t="s">
        <v>179</v>
      </c>
      <c r="U109" s="164"/>
      <c r="V109" s="12">
        <f>N46</f>
        <v>150.58409999999998</v>
      </c>
      <c r="W109" s="165"/>
      <c r="X109" s="164"/>
    </row>
    <row r="110" spans="2:24">
      <c r="D110" s="1" t="s">
        <v>49</v>
      </c>
      <c r="F110" s="163">
        <f>SUM(F107:G109)</f>
        <v>77.645600000000002</v>
      </c>
      <c r="G110" s="163"/>
      <c r="H110" s="1"/>
      <c r="R110" s="6"/>
      <c r="S110" s="12"/>
      <c r="U110" s="6"/>
      <c r="V110" s="68"/>
      <c r="W110" s="13"/>
      <c r="X110" s="13"/>
    </row>
    <row r="111" spans="2:24">
      <c r="H111" s="1"/>
      <c r="Q111" s="8" t="s">
        <v>85</v>
      </c>
      <c r="T111" s="1"/>
    </row>
    <row r="112" spans="2:24">
      <c r="D112" s="165" t="s">
        <v>51</v>
      </c>
      <c r="E112" s="165"/>
      <c r="F112" s="165"/>
      <c r="G112" s="165"/>
      <c r="H112" s="165"/>
      <c r="I112" s="165"/>
      <c r="J112" s="165" t="s">
        <v>53</v>
      </c>
      <c r="K112" s="166" t="s">
        <v>54</v>
      </c>
      <c r="L112" s="166"/>
      <c r="M112" s="166"/>
      <c r="N112" s="166"/>
      <c r="T112" s="1"/>
    </row>
    <row r="113" spans="3:25">
      <c r="D113" s="165"/>
      <c r="E113" s="165"/>
      <c r="F113" s="165"/>
      <c r="G113" s="165"/>
      <c r="H113" s="165"/>
      <c r="I113" s="165"/>
      <c r="J113" s="165"/>
      <c r="K113" s="165" t="s">
        <v>56</v>
      </c>
      <c r="L113" s="165"/>
      <c r="M113" s="165"/>
      <c r="N113" s="165"/>
      <c r="R113" s="1" t="s">
        <v>86</v>
      </c>
      <c r="T113" s="1"/>
    </row>
    <row r="114" spans="3:25">
      <c r="R114" s="1" t="s">
        <v>87</v>
      </c>
    </row>
    <row r="115" spans="3:25" ht="14.25" thickBot="1">
      <c r="D115" s="165" t="s">
        <v>53</v>
      </c>
      <c r="E115" s="6"/>
      <c r="F115" s="170">
        <f>F107*J107+F108*J108+F109*J109</f>
        <v>100.46068000000001</v>
      </c>
      <c r="G115" s="170"/>
      <c r="H115" s="170"/>
      <c r="I115" s="165" t="s">
        <v>33</v>
      </c>
      <c r="J115" s="164">
        <f>F115/F116</f>
        <v>1.293836096314537</v>
      </c>
      <c r="K115" s="164"/>
      <c r="R115" s="165" t="s">
        <v>99</v>
      </c>
      <c r="S115" s="165"/>
      <c r="T115" s="171" t="s">
        <v>100</v>
      </c>
      <c r="U115" s="165" t="s">
        <v>33</v>
      </c>
      <c r="V115" s="37" t="s">
        <v>56</v>
      </c>
      <c r="W115" s="165" t="s">
        <v>101</v>
      </c>
      <c r="X115" s="165"/>
    </row>
    <row r="116" spans="3:25">
      <c r="D116" s="165"/>
      <c r="E116" s="6"/>
      <c r="F116" s="163">
        <f>F110</f>
        <v>77.645600000000002</v>
      </c>
      <c r="G116" s="165"/>
      <c r="H116" s="165"/>
      <c r="I116" s="165"/>
      <c r="J116" s="164"/>
      <c r="K116" s="164"/>
      <c r="R116" s="165"/>
      <c r="S116" s="165"/>
      <c r="T116" s="171"/>
      <c r="U116" s="165"/>
      <c r="V116" s="6" t="s">
        <v>128</v>
      </c>
      <c r="W116" s="165"/>
      <c r="X116" s="165"/>
    </row>
    <row r="117" spans="3:25">
      <c r="D117" s="6"/>
      <c r="E117" s="6"/>
      <c r="F117" s="12"/>
      <c r="G117" s="6"/>
      <c r="I117" s="6"/>
      <c r="J117" s="13"/>
      <c r="K117" s="13"/>
    </row>
    <row r="118" spans="3:25">
      <c r="C118" s="8" t="s">
        <v>62</v>
      </c>
      <c r="F118" s="12"/>
      <c r="G118" s="6"/>
      <c r="I118" s="6"/>
      <c r="J118" s="13"/>
      <c r="K118" s="13"/>
    </row>
    <row r="119" spans="3:25">
      <c r="C119" s="165" t="s">
        <v>180</v>
      </c>
      <c r="D119" s="19" t="s">
        <v>76</v>
      </c>
      <c r="E119" s="6"/>
      <c r="F119" s="165" t="s">
        <v>77</v>
      </c>
      <c r="G119" s="165" t="s">
        <v>78</v>
      </c>
      <c r="H119" s="164" t="s">
        <v>33</v>
      </c>
      <c r="I119" s="164">
        <f>H6/2</f>
        <v>0</v>
      </c>
      <c r="J119" s="164"/>
      <c r="K119" s="165" t="s">
        <v>77</v>
      </c>
      <c r="L119" s="164">
        <f>J115</f>
        <v>1.293836096314537</v>
      </c>
      <c r="M119" s="163" t="s">
        <v>33</v>
      </c>
      <c r="N119" s="179">
        <f>I119-L119</f>
        <v>-1.293836096314537</v>
      </c>
      <c r="T119" s="1"/>
    </row>
    <row r="120" spans="3:25">
      <c r="C120" s="165"/>
      <c r="D120" s="6">
        <v>2</v>
      </c>
      <c r="E120" s="6"/>
      <c r="F120" s="165"/>
      <c r="G120" s="165"/>
      <c r="H120" s="164"/>
      <c r="I120" s="164"/>
      <c r="J120" s="164"/>
      <c r="K120" s="165"/>
      <c r="L120" s="165"/>
      <c r="M120" s="163"/>
      <c r="N120" s="179"/>
      <c r="R120" s="1" t="s">
        <v>181</v>
      </c>
      <c r="T120" s="1"/>
    </row>
    <row r="121" spans="3:25">
      <c r="C121" s="1" t="s">
        <v>182</v>
      </c>
      <c r="D121" s="6"/>
      <c r="E121" s="6"/>
      <c r="F121" s="6"/>
      <c r="G121" s="6"/>
      <c r="H121" s="13"/>
      <c r="I121" s="13"/>
      <c r="J121" s="13"/>
      <c r="K121" s="6"/>
      <c r="L121" s="6"/>
      <c r="M121" s="12"/>
      <c r="N121" s="69"/>
      <c r="T121" s="1"/>
    </row>
    <row r="122" spans="3:25">
      <c r="C122" s="2" t="s">
        <v>183</v>
      </c>
      <c r="D122" s="6" t="s">
        <v>33</v>
      </c>
      <c r="E122" s="6"/>
      <c r="F122" s="13">
        <f>H6/3</f>
        <v>0</v>
      </c>
      <c r="G122" s="6"/>
      <c r="H122" s="13"/>
      <c r="I122" s="13"/>
      <c r="J122" s="13"/>
      <c r="K122" s="6"/>
      <c r="L122" s="6"/>
      <c r="M122" s="12"/>
      <c r="N122" s="69"/>
      <c r="T122" s="1"/>
    </row>
    <row r="123" spans="3:25">
      <c r="C123" s="2" t="s">
        <v>184</v>
      </c>
      <c r="D123" s="6" t="str">
        <f>IF($F$122/2&gt;$N$119,"&gt;","&lt;")</f>
        <v>&gt;</v>
      </c>
      <c r="E123" s="6"/>
      <c r="F123" s="13" t="s">
        <v>74</v>
      </c>
      <c r="G123" s="56" t="str">
        <f>IF($F$122/2&gt;$N$119,"OK","NO")</f>
        <v>OK</v>
      </c>
      <c r="H123" s="13"/>
      <c r="I123" s="13"/>
      <c r="J123" s="13"/>
      <c r="K123" s="6"/>
      <c r="L123" s="6"/>
      <c r="M123" s="12"/>
      <c r="N123" s="69"/>
      <c r="T123" s="1"/>
    </row>
    <row r="124" spans="3:25">
      <c r="C124" s="2"/>
      <c r="D124" s="6"/>
      <c r="E124" s="6"/>
      <c r="F124" s="13"/>
      <c r="G124" s="70" t="s">
        <v>185</v>
      </c>
      <c r="H124" s="13"/>
      <c r="I124" s="13"/>
      <c r="J124" s="13"/>
      <c r="K124" s="6"/>
      <c r="L124" s="6"/>
      <c r="M124" s="12"/>
      <c r="N124" s="69"/>
      <c r="T124" s="1"/>
    </row>
    <row r="125" spans="3:25">
      <c r="C125" s="2"/>
      <c r="D125" s="6"/>
      <c r="E125" s="6"/>
      <c r="F125" s="13"/>
      <c r="G125" s="56"/>
      <c r="H125" s="13"/>
      <c r="I125" s="13"/>
      <c r="J125" s="13"/>
      <c r="K125" s="6"/>
      <c r="L125" s="6"/>
      <c r="M125" s="12"/>
      <c r="N125" s="69"/>
      <c r="T125" s="1"/>
    </row>
    <row r="126" spans="3:25">
      <c r="C126" s="1" t="s">
        <v>186</v>
      </c>
      <c r="D126" s="6"/>
      <c r="E126" s="6"/>
      <c r="F126" s="12"/>
      <c r="G126" s="6"/>
      <c r="H126" s="12"/>
      <c r="I126" s="12"/>
      <c r="J126" s="12"/>
      <c r="K126" s="6"/>
      <c r="L126" s="13"/>
      <c r="R126" s="1" t="s">
        <v>125</v>
      </c>
    </row>
    <row r="127" spans="3:25" ht="14.25" thickBot="1">
      <c r="C127" s="2" t="s">
        <v>183</v>
      </c>
      <c r="D127" s="6" t="s">
        <v>33</v>
      </c>
      <c r="E127" s="6"/>
      <c r="F127" s="13">
        <f>H6/3</f>
        <v>0</v>
      </c>
      <c r="G127" s="6"/>
      <c r="H127" s="12"/>
      <c r="I127" s="12"/>
      <c r="J127" s="12"/>
      <c r="K127" s="6"/>
      <c r="L127" s="13"/>
      <c r="R127" s="165" t="s">
        <v>99</v>
      </c>
      <c r="S127" s="165"/>
      <c r="T127" s="171" t="s">
        <v>126</v>
      </c>
      <c r="U127" s="165" t="s">
        <v>33</v>
      </c>
      <c r="V127" s="37" t="s">
        <v>56</v>
      </c>
      <c r="W127" s="165" t="s">
        <v>83</v>
      </c>
      <c r="X127" s="172">
        <v>2</v>
      </c>
      <c r="Y127" s="172"/>
    </row>
    <row r="128" spans="3:25">
      <c r="C128" s="2" t="s">
        <v>187</v>
      </c>
      <c r="D128" s="6" t="s">
        <v>33</v>
      </c>
      <c r="E128" s="6"/>
      <c r="F128" s="13">
        <f>2*H6/3</f>
        <v>0</v>
      </c>
      <c r="G128" s="6"/>
      <c r="H128" s="12"/>
      <c r="I128" s="12"/>
      <c r="J128" s="12"/>
      <c r="K128" s="6"/>
      <c r="L128" s="13"/>
      <c r="Q128" s="10"/>
      <c r="R128" s="165"/>
      <c r="S128" s="165"/>
      <c r="T128" s="171"/>
      <c r="U128" s="165"/>
      <c r="V128" s="6" t="s">
        <v>128</v>
      </c>
      <c r="W128" s="165"/>
      <c r="X128" s="1" t="s">
        <v>129</v>
      </c>
    </row>
    <row r="129" spans="3:24">
      <c r="C129" s="2"/>
      <c r="D129" s="6"/>
      <c r="E129" s="6"/>
      <c r="F129" s="13"/>
      <c r="G129" s="6"/>
      <c r="H129" s="12"/>
      <c r="I129" s="12"/>
      <c r="J129" s="12"/>
      <c r="K129" s="6"/>
      <c r="L129" s="13"/>
      <c r="Q129" s="10"/>
      <c r="R129" s="6"/>
      <c r="S129" s="6"/>
      <c r="T129" s="36"/>
      <c r="U129" s="6"/>
      <c r="V129" s="6"/>
      <c r="W129" s="6"/>
    </row>
    <row r="130" spans="3:24">
      <c r="C130" s="2" t="s">
        <v>183</v>
      </c>
      <c r="D130" s="6" t="str">
        <f>IF($F$127&gt;$N$119,"&gt;","&lt;")</f>
        <v>&gt;</v>
      </c>
      <c r="E130" s="6"/>
      <c r="F130" s="13" t="s">
        <v>74</v>
      </c>
      <c r="G130" s="56" t="str">
        <f>IF($F$122&gt;$N$119,"OK","NO")</f>
        <v>OK</v>
      </c>
      <c r="I130" s="6"/>
      <c r="J130" s="13"/>
      <c r="K130" s="13"/>
      <c r="Q130" s="6"/>
      <c r="T130" s="1"/>
    </row>
    <row r="131" spans="3:24">
      <c r="D131" s="6"/>
      <c r="E131" s="6"/>
      <c r="F131" s="12"/>
      <c r="G131" s="6"/>
      <c r="I131" s="6"/>
      <c r="J131" s="13"/>
      <c r="K131" s="13"/>
      <c r="Q131" s="6"/>
      <c r="T131" s="1"/>
    </row>
    <row r="132" spans="3:24">
      <c r="C132" s="8" t="s">
        <v>85</v>
      </c>
      <c r="H132" s="1"/>
      <c r="Q132" s="10"/>
      <c r="T132" s="1"/>
    </row>
    <row r="133" spans="3:24">
      <c r="H133" s="1"/>
      <c r="P133" s="4"/>
      <c r="Q133" s="6"/>
      <c r="R133" s="1" t="s">
        <v>188</v>
      </c>
      <c r="T133" s="1"/>
    </row>
    <row r="134" spans="3:24">
      <c r="D134" s="1" t="s">
        <v>86</v>
      </c>
      <c r="H134" s="1"/>
      <c r="P134" s="2"/>
      <c r="R134" s="40" t="e">
        <f>IF(X108&lt;=#REF!/6,"検討式１","検討式２")</f>
        <v>#REF!</v>
      </c>
      <c r="T134" s="1" t="s">
        <v>141</v>
      </c>
    </row>
    <row r="135" spans="3:24">
      <c r="D135" s="1" t="s">
        <v>87</v>
      </c>
      <c r="G135" s="6"/>
      <c r="H135" s="1"/>
      <c r="P135" s="4"/>
      <c r="T135" s="1"/>
    </row>
    <row r="136" spans="3:24" ht="13.5" customHeight="1" thickBot="1">
      <c r="D136" s="165" t="s">
        <v>99</v>
      </c>
      <c r="E136" s="165"/>
      <c r="F136" s="165"/>
      <c r="G136" s="171" t="s">
        <v>189</v>
      </c>
      <c r="H136" s="171"/>
      <c r="I136" s="165" t="s">
        <v>33</v>
      </c>
      <c r="J136" s="37" t="s">
        <v>56</v>
      </c>
      <c r="K136" s="165" t="s">
        <v>101</v>
      </c>
      <c r="L136" s="165"/>
      <c r="P136" s="2"/>
      <c r="T136" s="1"/>
    </row>
    <row r="137" spans="3:24" ht="14.25" thickBot="1">
      <c r="D137" s="165"/>
      <c r="E137" s="165"/>
      <c r="F137" s="165"/>
      <c r="G137" s="171"/>
      <c r="H137" s="171"/>
      <c r="I137" s="165"/>
      <c r="J137" s="6" t="s">
        <v>128</v>
      </c>
      <c r="K137" s="165"/>
      <c r="L137" s="165"/>
      <c r="R137" s="171" t="s">
        <v>126</v>
      </c>
      <c r="S137" s="176" t="s">
        <v>33</v>
      </c>
      <c r="T137" s="45">
        <f>S17</f>
        <v>21.5</v>
      </c>
      <c r="U137" s="165" t="s">
        <v>83</v>
      </c>
      <c r="V137" s="172">
        <v>2</v>
      </c>
      <c r="W137" s="172"/>
      <c r="X137" s="50"/>
    </row>
    <row r="138" spans="3:24">
      <c r="H138" s="1"/>
      <c r="R138" s="171"/>
      <c r="S138" s="176"/>
      <c r="T138" s="6" t="e">
        <f>(#REF!)*(#REF!)</f>
        <v>#REF!</v>
      </c>
      <c r="U138" s="165"/>
      <c r="V138" s="173">
        <v>0.39269999999999999</v>
      </c>
      <c r="W138" s="173"/>
      <c r="X138" s="50"/>
    </row>
    <row r="139" spans="3:24">
      <c r="D139" s="1" t="s">
        <v>181</v>
      </c>
      <c r="H139" s="1"/>
      <c r="R139" s="50"/>
      <c r="S139" s="50"/>
      <c r="T139" s="44"/>
      <c r="U139" s="50"/>
      <c r="V139" s="50"/>
      <c r="W139" s="50"/>
      <c r="X139" s="50"/>
    </row>
    <row r="140" spans="3:24">
      <c r="D140" s="1" t="s">
        <v>190</v>
      </c>
      <c r="G140" s="6"/>
      <c r="H140" s="1"/>
      <c r="S140" s="1" t="s">
        <v>33</v>
      </c>
      <c r="T140" s="6" t="e">
        <f>(T137/T138)*(V137/V138)</f>
        <v>#REF!</v>
      </c>
    </row>
    <row r="141" spans="3:24" ht="14.25" thickBot="1">
      <c r="D141" s="165" t="s">
        <v>99</v>
      </c>
      <c r="E141" s="165"/>
      <c r="F141" s="165"/>
      <c r="G141" s="171" t="s">
        <v>126</v>
      </c>
      <c r="H141" s="165" t="s">
        <v>33</v>
      </c>
      <c r="I141" s="37" t="s">
        <v>56</v>
      </c>
      <c r="J141" s="165" t="s">
        <v>83</v>
      </c>
      <c r="K141" s="172">
        <v>2</v>
      </c>
      <c r="L141" s="172"/>
    </row>
    <row r="142" spans="3:24">
      <c r="C142" s="10"/>
      <c r="D142" s="165"/>
      <c r="E142" s="165"/>
      <c r="F142" s="165"/>
      <c r="G142" s="171"/>
      <c r="H142" s="165"/>
      <c r="I142" s="6" t="s">
        <v>128</v>
      </c>
      <c r="J142" s="165"/>
      <c r="K142" s="1" t="s">
        <v>129</v>
      </c>
      <c r="T142" s="9" t="s">
        <v>161</v>
      </c>
      <c r="V142" s="9" t="s">
        <v>162</v>
      </c>
    </row>
    <row r="143" spans="3:24">
      <c r="C143" s="6"/>
      <c r="H143" s="1"/>
      <c r="R143" s="2" t="s">
        <v>164</v>
      </c>
      <c r="S143" s="2" t="s">
        <v>33</v>
      </c>
      <c r="T143" s="25" t="e">
        <f>T140</f>
        <v>#REF!</v>
      </c>
      <c r="U143" s="6" t="e">
        <f>IF(T143&lt;V143,"＜",IF(T143&gt;V143,"＞"))</f>
        <v>#REF!</v>
      </c>
      <c r="V143" s="25">
        <f>V89*2</f>
        <v>106</v>
      </c>
      <c r="W143" s="1" t="s">
        <v>145</v>
      </c>
      <c r="X143" s="43" t="e">
        <f>IF(T143&gt;V143,"NG",IF(T143&lt;V143,"OK"))</f>
        <v>#REF!</v>
      </c>
    </row>
    <row r="144" spans="3:24">
      <c r="C144" s="10"/>
      <c r="D144" s="165" t="s">
        <v>191</v>
      </c>
      <c r="E144" s="165"/>
      <c r="F144" s="165"/>
      <c r="G144" s="163">
        <f>H6/6</f>
        <v>0</v>
      </c>
      <c r="H144" s="163"/>
      <c r="T144" s="50"/>
      <c r="U144" s="50"/>
      <c r="V144" s="59" t="s">
        <v>192</v>
      </c>
    </row>
    <row r="145" spans="3:14">
      <c r="C145" s="10"/>
      <c r="D145" s="6"/>
      <c r="E145" s="6"/>
      <c r="F145" s="12"/>
      <c r="G145" s="12"/>
      <c r="H145" s="1"/>
    </row>
    <row r="146" spans="3:14">
      <c r="C146" s="6"/>
      <c r="D146" s="1" t="s">
        <v>133</v>
      </c>
      <c r="H146" s="1"/>
    </row>
    <row r="147" spans="3:14">
      <c r="D147" s="180" t="str">
        <f>IF(N119&lt;=H6/6,"検討式１","検討式２")</f>
        <v>検討式１</v>
      </c>
      <c r="E147" s="180"/>
      <c r="F147" s="180"/>
      <c r="G147" s="1" t="s">
        <v>141</v>
      </c>
      <c r="H147" s="1"/>
    </row>
    <row r="148" spans="3:14" ht="14.25" thickBot="1">
      <c r="D148" s="171" t="s">
        <v>126</v>
      </c>
      <c r="E148" s="36"/>
      <c r="F148" s="176" t="s">
        <v>33</v>
      </c>
      <c r="H148" s="177" t="e">
        <f>$F$110/($H$6*1)</f>
        <v>#DIV/0!</v>
      </c>
      <c r="I148" s="165" t="s">
        <v>83</v>
      </c>
      <c r="J148" s="37">
        <v>2</v>
      </c>
      <c r="K148" s="165" t="s">
        <v>83</v>
      </c>
      <c r="L148" s="172">
        <v>1</v>
      </c>
      <c r="M148" s="172"/>
      <c r="N148" s="172"/>
    </row>
    <row r="149" spans="3:14">
      <c r="D149" s="171"/>
      <c r="E149" s="36"/>
      <c r="F149" s="176"/>
      <c r="H149" s="163"/>
      <c r="I149" s="165"/>
      <c r="J149" s="71">
        <v>3</v>
      </c>
      <c r="K149" s="165"/>
      <c r="L149" s="181">
        <v>0.5</v>
      </c>
      <c r="M149" s="183" t="s">
        <v>77</v>
      </c>
      <c r="N149" s="46">
        <f>N119</f>
        <v>-1.293836096314537</v>
      </c>
    </row>
    <row r="150" spans="3:14">
      <c r="D150" s="50"/>
      <c r="E150" s="50"/>
      <c r="F150" s="50"/>
      <c r="G150" s="44"/>
      <c r="H150" s="50"/>
      <c r="I150" s="50"/>
      <c r="J150" s="50"/>
      <c r="K150" s="50"/>
      <c r="L150" s="182"/>
      <c r="M150" s="165"/>
      <c r="N150" s="72">
        <f>H6</f>
        <v>0</v>
      </c>
    </row>
    <row r="151" spans="3:14">
      <c r="D151" s="50"/>
      <c r="E151" s="50"/>
      <c r="F151" s="50"/>
      <c r="G151" s="44"/>
      <c r="H151" s="50"/>
      <c r="I151" s="50"/>
      <c r="J151" s="50"/>
      <c r="K151" s="50"/>
      <c r="L151" s="25"/>
      <c r="M151" s="6"/>
      <c r="N151" s="13"/>
    </row>
    <row r="152" spans="3:14">
      <c r="F152" s="6" t="s">
        <v>33</v>
      </c>
      <c r="H152" s="52" t="e">
        <f>H148</f>
        <v>#DIV/0!</v>
      </c>
      <c r="I152" s="12" t="s">
        <v>83</v>
      </c>
      <c r="J152" s="52" t="e">
        <f>(J148/J149)*1/(L149-N149/N150)</f>
        <v>#DIV/0!</v>
      </c>
      <c r="K152" s="12" t="s">
        <v>33</v>
      </c>
      <c r="L152" s="52" t="e">
        <f>H152*J152</f>
        <v>#DIV/0!</v>
      </c>
    </row>
    <row r="153" spans="3:14">
      <c r="D153" s="6"/>
      <c r="E153" s="6"/>
      <c r="F153" s="12"/>
      <c r="G153" s="52"/>
      <c r="H153" s="52"/>
      <c r="I153" s="52"/>
      <c r="J153" s="52"/>
      <c r="K153" s="52"/>
    </row>
    <row r="154" spans="3:14">
      <c r="H154" s="9" t="s">
        <v>161</v>
      </c>
      <c r="J154" s="9" t="s">
        <v>162</v>
      </c>
    </row>
    <row r="155" spans="3:14">
      <c r="D155" s="2" t="s">
        <v>164</v>
      </c>
      <c r="E155" s="2"/>
      <c r="F155" s="6" t="s">
        <v>33</v>
      </c>
      <c r="H155" s="12" t="e">
        <f>L152</f>
        <v>#DIV/0!</v>
      </c>
      <c r="I155" s="6" t="e">
        <f>IF(H155&lt;J155,"＜",IF(H155&gt;J155,"＞"))</f>
        <v>#DIV/0!</v>
      </c>
      <c r="J155" s="30">
        <v>53.92</v>
      </c>
      <c r="K155" s="1" t="s">
        <v>145</v>
      </c>
      <c r="L155" s="43" t="e">
        <f>IF(H155&gt;J155,"NG",IF(H155&lt;J155,"OK"))</f>
        <v>#DIV/0!</v>
      </c>
    </row>
    <row r="156" spans="3:14">
      <c r="H156" s="50"/>
      <c r="I156" s="50"/>
      <c r="J156" s="59" t="s">
        <v>165</v>
      </c>
    </row>
    <row r="157" spans="3:14">
      <c r="H157" s="1"/>
    </row>
    <row r="158" spans="3:14">
      <c r="H158" s="1"/>
    </row>
    <row r="160" spans="3:14">
      <c r="C160" s="168" t="s">
        <v>177</v>
      </c>
      <c r="D160" s="168"/>
      <c r="E160" s="168"/>
      <c r="F160" s="168"/>
      <c r="G160" s="168"/>
      <c r="H160" s="168"/>
      <c r="I160" s="168"/>
    </row>
    <row r="161" spans="3:20">
      <c r="C161" s="168"/>
      <c r="D161" s="168"/>
      <c r="E161" s="168"/>
      <c r="F161" s="168"/>
      <c r="G161" s="168"/>
      <c r="H161" s="168"/>
      <c r="I161" s="168"/>
    </row>
    <row r="162" spans="3:20">
      <c r="D162" s="6"/>
      <c r="E162" s="6"/>
      <c r="F162" s="12"/>
      <c r="G162" s="6"/>
    </row>
    <row r="163" spans="3:20">
      <c r="C163" s="8" t="s">
        <v>193</v>
      </c>
      <c r="F163" s="12"/>
      <c r="G163" s="6"/>
    </row>
    <row r="164" spans="3:20">
      <c r="D164" s="6"/>
      <c r="E164" s="6"/>
      <c r="F164" s="12"/>
      <c r="G164" s="6"/>
      <c r="I164" s="6"/>
      <c r="J164" s="13"/>
      <c r="K164" s="13"/>
    </row>
    <row r="165" spans="3:20">
      <c r="D165" s="165" t="s">
        <v>74</v>
      </c>
      <c r="E165" s="6"/>
      <c r="F165" s="163" t="s">
        <v>75</v>
      </c>
      <c r="G165" s="165"/>
      <c r="H165" s="19" t="s">
        <v>178</v>
      </c>
      <c r="I165" s="164" t="s">
        <v>75</v>
      </c>
      <c r="J165" s="163">
        <f>J49</f>
        <v>68.068399999999997</v>
      </c>
      <c r="K165" s="163"/>
      <c r="L165" s="165" t="s">
        <v>75</v>
      </c>
      <c r="M165" s="164">
        <f>J165/J166</f>
        <v>0.8766549553355244</v>
      </c>
      <c r="N165" s="164"/>
    </row>
    <row r="166" spans="3:20">
      <c r="D166" s="165"/>
      <c r="E166" s="6"/>
      <c r="F166" s="163"/>
      <c r="G166" s="165"/>
      <c r="H166" s="6" t="s">
        <v>179</v>
      </c>
      <c r="I166" s="164"/>
      <c r="J166" s="184">
        <f>F110</f>
        <v>77.645600000000002</v>
      </c>
      <c r="K166" s="184"/>
      <c r="L166" s="165"/>
      <c r="M166" s="164"/>
      <c r="N166" s="164"/>
    </row>
    <row r="167" spans="3:20">
      <c r="C167" s="8" t="s">
        <v>194</v>
      </c>
      <c r="F167" s="12"/>
      <c r="G167" s="6"/>
      <c r="I167" s="6"/>
      <c r="J167" s="13"/>
      <c r="K167" s="13"/>
    </row>
    <row r="168" spans="3:20">
      <c r="D168" s="6"/>
      <c r="E168" s="6"/>
      <c r="F168" s="12"/>
      <c r="G168" s="6"/>
      <c r="I168" s="6"/>
      <c r="J168" s="13"/>
      <c r="K168" s="13"/>
    </row>
    <row r="169" spans="3:20">
      <c r="D169" s="165" t="s">
        <v>74</v>
      </c>
      <c r="E169" s="6"/>
      <c r="F169" s="163" t="s">
        <v>33</v>
      </c>
      <c r="G169" s="6"/>
      <c r="H169" s="164">
        <f>N119</f>
        <v>-1.293836096314537</v>
      </c>
      <c r="I169" s="163" t="s">
        <v>195</v>
      </c>
      <c r="J169" s="164">
        <f>M165</f>
        <v>0.8766549553355244</v>
      </c>
      <c r="K169" s="165" t="s">
        <v>33</v>
      </c>
      <c r="L169" s="185">
        <f>H169+J169</f>
        <v>-0.4171811409790126</v>
      </c>
    </row>
    <row r="170" spans="3:20">
      <c r="D170" s="165"/>
      <c r="E170" s="6"/>
      <c r="F170" s="163"/>
      <c r="G170" s="6"/>
      <c r="H170" s="164"/>
      <c r="I170" s="163"/>
      <c r="J170" s="164"/>
      <c r="K170" s="165"/>
      <c r="L170" s="185"/>
    </row>
    <row r="171" spans="3:20">
      <c r="D171" s="6"/>
      <c r="E171" s="6"/>
      <c r="F171" s="12"/>
      <c r="G171" s="6"/>
      <c r="H171" s="12"/>
      <c r="I171" s="12"/>
      <c r="J171" s="12"/>
      <c r="K171" s="6"/>
      <c r="L171" s="13"/>
    </row>
    <row r="172" spans="3:20">
      <c r="C172" s="1" t="s">
        <v>182</v>
      </c>
      <c r="D172" s="6"/>
      <c r="E172" s="6"/>
      <c r="F172" s="6"/>
      <c r="G172" s="6"/>
      <c r="H172" s="13"/>
      <c r="I172" s="13"/>
      <c r="J172" s="13"/>
      <c r="K172" s="6"/>
      <c r="L172" s="6"/>
      <c r="M172" s="12"/>
      <c r="N172" s="69"/>
      <c r="T172" s="1"/>
    </row>
    <row r="173" spans="3:20">
      <c r="C173" s="2" t="s">
        <v>183</v>
      </c>
      <c r="D173" s="6" t="s">
        <v>33</v>
      </c>
      <c r="E173" s="6"/>
      <c r="F173" s="13">
        <f>H6/3</f>
        <v>0</v>
      </c>
      <c r="G173" s="6"/>
      <c r="H173" s="13"/>
      <c r="I173" s="13"/>
      <c r="J173" s="13"/>
      <c r="K173" s="6"/>
      <c r="L173" s="6"/>
      <c r="M173" s="12"/>
      <c r="N173" s="69"/>
      <c r="T173" s="1"/>
    </row>
    <row r="174" spans="3:20">
      <c r="C174" s="2" t="s">
        <v>184</v>
      </c>
      <c r="D174" s="6" t="str">
        <f>IF($F$122/2&gt;$N$119,"&gt;","&lt;")</f>
        <v>&gt;</v>
      </c>
      <c r="E174" s="6"/>
      <c r="F174" s="13" t="s">
        <v>74</v>
      </c>
      <c r="G174" s="56" t="str">
        <f>IF($F$122/2&gt;$N$119,"OK","NO")</f>
        <v>OK</v>
      </c>
      <c r="H174" s="13"/>
      <c r="I174" s="13"/>
      <c r="J174" s="13"/>
      <c r="K174" s="6"/>
      <c r="L174" s="6"/>
      <c r="M174" s="12"/>
      <c r="N174" s="69"/>
      <c r="T174" s="1"/>
    </row>
    <row r="175" spans="3:20">
      <c r="D175" s="6"/>
      <c r="E175" s="6"/>
      <c r="F175" s="12"/>
      <c r="G175" s="70" t="s">
        <v>185</v>
      </c>
      <c r="H175" s="12"/>
      <c r="I175" s="12"/>
      <c r="J175" s="12"/>
      <c r="K175" s="6"/>
      <c r="L175" s="13"/>
    </row>
    <row r="176" spans="3:20">
      <c r="D176" s="6"/>
      <c r="E176" s="6"/>
      <c r="F176" s="12"/>
      <c r="G176" s="70"/>
      <c r="H176" s="12"/>
      <c r="I176" s="12"/>
      <c r="J176" s="12"/>
      <c r="K176" s="6"/>
      <c r="L176" s="13"/>
    </row>
    <row r="177" spans="3:20">
      <c r="C177" s="1" t="s">
        <v>186</v>
      </c>
      <c r="D177" s="6"/>
      <c r="E177" s="6"/>
      <c r="F177" s="13"/>
      <c r="G177" s="56"/>
      <c r="H177" s="13"/>
      <c r="I177" s="13"/>
      <c r="J177" s="13"/>
      <c r="K177" s="6"/>
      <c r="L177" s="6"/>
      <c r="M177" s="12"/>
      <c r="N177" s="69"/>
      <c r="T177" s="1"/>
    </row>
    <row r="178" spans="3:20">
      <c r="C178" s="2" t="s">
        <v>183</v>
      </c>
      <c r="D178" s="6" t="s">
        <v>33</v>
      </c>
      <c r="E178" s="6"/>
      <c r="F178" s="13">
        <f>H6/3</f>
        <v>0</v>
      </c>
      <c r="G178" s="6"/>
      <c r="H178" s="12"/>
      <c r="I178" s="12"/>
      <c r="J178" s="12"/>
      <c r="K178" s="6"/>
      <c r="L178" s="13"/>
    </row>
    <row r="179" spans="3:20">
      <c r="C179" s="2" t="s">
        <v>187</v>
      </c>
      <c r="D179" s="6" t="s">
        <v>33</v>
      </c>
      <c r="E179" s="6"/>
      <c r="F179" s="13">
        <f>2*H6/3</f>
        <v>0</v>
      </c>
      <c r="G179" s="6"/>
      <c r="H179" s="12"/>
      <c r="I179" s="12"/>
      <c r="J179" s="12"/>
      <c r="K179" s="6"/>
      <c r="L179" s="13"/>
    </row>
    <row r="180" spans="3:20">
      <c r="C180" s="2"/>
      <c r="D180" s="6"/>
      <c r="E180" s="6"/>
      <c r="F180" s="13"/>
      <c r="G180" s="6"/>
      <c r="H180" s="12"/>
      <c r="I180" s="12"/>
      <c r="J180" s="12"/>
      <c r="K180" s="6"/>
      <c r="L180" s="13"/>
    </row>
    <row r="181" spans="3:20">
      <c r="C181" s="2" t="s">
        <v>183</v>
      </c>
      <c r="D181" s="6" t="str">
        <f>IF($F$178&gt;$L$169,"&gt;","&lt;")</f>
        <v>&gt;</v>
      </c>
      <c r="E181" s="6"/>
      <c r="F181" s="13" t="s">
        <v>74</v>
      </c>
      <c r="G181" s="56" t="str">
        <f>IF($F$178&gt;$L$169,"OK","N0")</f>
        <v>OK</v>
      </c>
      <c r="H181" s="12"/>
      <c r="I181" s="12"/>
      <c r="J181" s="12"/>
      <c r="K181" s="6"/>
      <c r="L181" s="13"/>
    </row>
    <row r="182" spans="3:20">
      <c r="D182" s="6"/>
      <c r="E182" s="6"/>
      <c r="F182" s="12"/>
      <c r="G182" s="6"/>
      <c r="I182" s="68"/>
      <c r="J182" s="13"/>
      <c r="K182" s="13"/>
    </row>
    <row r="183" spans="3:20">
      <c r="C183" s="8" t="s">
        <v>85</v>
      </c>
      <c r="H183" s="1"/>
    </row>
    <row r="184" spans="3:20">
      <c r="H184" s="1"/>
    </row>
    <row r="185" spans="3:20">
      <c r="D185" s="1" t="s">
        <v>86</v>
      </c>
      <c r="H185" s="1"/>
    </row>
    <row r="186" spans="3:20">
      <c r="D186" s="1" t="s">
        <v>87</v>
      </c>
      <c r="G186" s="6"/>
      <c r="H186" s="1"/>
    </row>
    <row r="187" spans="3:20" ht="14.25" thickBot="1">
      <c r="D187" s="165" t="s">
        <v>99</v>
      </c>
      <c r="E187" s="165"/>
      <c r="F187" s="165"/>
      <c r="G187" s="171" t="s">
        <v>189</v>
      </c>
      <c r="H187" s="171"/>
      <c r="I187" s="165" t="s">
        <v>33</v>
      </c>
      <c r="J187" s="37" t="s">
        <v>56</v>
      </c>
      <c r="K187" s="165" t="s">
        <v>101</v>
      </c>
      <c r="L187" s="165"/>
    </row>
    <row r="188" spans="3:20">
      <c r="D188" s="165"/>
      <c r="E188" s="165"/>
      <c r="F188" s="165"/>
      <c r="G188" s="171"/>
      <c r="H188" s="171"/>
      <c r="I188" s="165"/>
      <c r="J188" s="6" t="s">
        <v>128</v>
      </c>
      <c r="K188" s="165"/>
      <c r="L188" s="165"/>
    </row>
    <row r="189" spans="3:20">
      <c r="G189" s="6"/>
      <c r="H189" s="1"/>
    </row>
    <row r="190" spans="3:20">
      <c r="G190" s="6"/>
      <c r="H190" s="1"/>
    </row>
    <row r="191" spans="3:20">
      <c r="H191" s="1"/>
    </row>
    <row r="192" spans="3:20">
      <c r="D192" s="1" t="s">
        <v>181</v>
      </c>
      <c r="H192" s="1"/>
    </row>
    <row r="193" spans="3:14">
      <c r="D193" s="1" t="s">
        <v>190</v>
      </c>
      <c r="G193" s="6"/>
      <c r="H193" s="186" t="s">
        <v>196</v>
      </c>
      <c r="I193" s="186"/>
      <c r="J193" s="187">
        <f>H6/6</f>
        <v>0</v>
      </c>
      <c r="K193" s="187"/>
    </row>
    <row r="194" spans="3:14" ht="14.25" thickBot="1">
      <c r="D194" s="165" t="s">
        <v>99</v>
      </c>
      <c r="E194" s="165"/>
      <c r="F194" s="165"/>
      <c r="G194" s="171" t="s">
        <v>126</v>
      </c>
      <c r="H194" s="165" t="s">
        <v>33</v>
      </c>
      <c r="I194" s="37" t="s">
        <v>56</v>
      </c>
      <c r="J194" s="165" t="s">
        <v>83</v>
      </c>
      <c r="K194" s="172">
        <v>2</v>
      </c>
      <c r="L194" s="172"/>
    </row>
    <row r="195" spans="3:14">
      <c r="C195" s="10"/>
      <c r="D195" s="165"/>
      <c r="E195" s="165"/>
      <c r="F195" s="165"/>
      <c r="G195" s="171"/>
      <c r="H195" s="165"/>
      <c r="I195" s="6" t="s">
        <v>128</v>
      </c>
      <c r="J195" s="165"/>
      <c r="K195" s="1" t="s">
        <v>129</v>
      </c>
    </row>
    <row r="196" spans="3:14">
      <c r="C196" s="6"/>
    </row>
    <row r="197" spans="3:14">
      <c r="C197" s="10"/>
      <c r="H197" s="1"/>
    </row>
    <row r="198" spans="3:14" ht="14.25" customHeight="1">
      <c r="C198" s="6"/>
      <c r="D198" s="1" t="s">
        <v>188</v>
      </c>
      <c r="H198" s="1"/>
    </row>
    <row r="199" spans="3:14">
      <c r="D199" s="180" t="str">
        <f>IF(L169&lt;=J193,"検討式１","検討式２")</f>
        <v>検討式１</v>
      </c>
      <c r="E199" s="180"/>
      <c r="F199" s="180"/>
      <c r="G199" s="1" t="s">
        <v>141</v>
      </c>
      <c r="H199" s="1"/>
    </row>
    <row r="200" spans="3:14">
      <c r="H200" s="1"/>
    </row>
    <row r="201" spans="3:14">
      <c r="H201" s="1"/>
    </row>
    <row r="202" spans="3:14" ht="14.25" thickBot="1">
      <c r="D202" s="171" t="s">
        <v>126</v>
      </c>
      <c r="E202" s="36"/>
      <c r="F202" s="176" t="s">
        <v>33</v>
      </c>
      <c r="H202" s="177" t="e">
        <f>$F$110/($H$6*1)</f>
        <v>#DIV/0!</v>
      </c>
      <c r="I202" s="165" t="s">
        <v>83</v>
      </c>
      <c r="J202" s="37">
        <v>2</v>
      </c>
      <c r="K202" s="165" t="s">
        <v>83</v>
      </c>
      <c r="L202" s="172">
        <v>1</v>
      </c>
      <c r="M202" s="172"/>
      <c r="N202" s="172"/>
    </row>
    <row r="203" spans="3:14">
      <c r="D203" s="171"/>
      <c r="E203" s="36"/>
      <c r="F203" s="176"/>
      <c r="H203" s="163"/>
      <c r="I203" s="165"/>
      <c r="J203" s="71">
        <v>3</v>
      </c>
      <c r="K203" s="165"/>
      <c r="L203" s="181">
        <v>0.5</v>
      </c>
      <c r="M203" s="183" t="s">
        <v>77</v>
      </c>
      <c r="N203" s="46">
        <f>L169</f>
        <v>-0.4171811409790126</v>
      </c>
    </row>
    <row r="204" spans="3:14">
      <c r="D204" s="50"/>
      <c r="E204" s="50"/>
      <c r="F204" s="50"/>
      <c r="G204" s="44"/>
      <c r="H204" s="50"/>
      <c r="I204" s="50"/>
      <c r="J204" s="50"/>
      <c r="K204" s="50"/>
      <c r="L204" s="182"/>
      <c r="M204" s="165"/>
      <c r="N204" s="72">
        <f>H6</f>
        <v>0</v>
      </c>
    </row>
    <row r="205" spans="3:14">
      <c r="D205" s="50"/>
      <c r="E205" s="50"/>
      <c r="F205" s="50"/>
      <c r="G205" s="44"/>
      <c r="H205" s="50"/>
      <c r="I205" s="50"/>
      <c r="J205" s="50"/>
      <c r="K205" s="50"/>
      <c r="L205" s="25"/>
      <c r="M205" s="6"/>
      <c r="N205" s="13"/>
    </row>
    <row r="206" spans="3:14">
      <c r="F206" s="6" t="s">
        <v>33</v>
      </c>
      <c r="H206" s="12" t="e">
        <f>H202</f>
        <v>#DIV/0!</v>
      </c>
      <c r="I206" s="6" t="s">
        <v>83</v>
      </c>
      <c r="J206" s="12" t="e">
        <f>(J202/J203)*1/(L203-N203/N204)</f>
        <v>#DIV/0!</v>
      </c>
      <c r="K206" s="12" t="s">
        <v>33</v>
      </c>
      <c r="L206" s="52" t="e">
        <f>H206*J206</f>
        <v>#DIV/0!</v>
      </c>
    </row>
    <row r="207" spans="3:14">
      <c r="D207" s="6"/>
      <c r="E207" s="6"/>
      <c r="F207" s="12"/>
      <c r="G207" s="52"/>
      <c r="H207" s="52"/>
      <c r="J207" s="52"/>
      <c r="K207" s="52"/>
    </row>
    <row r="208" spans="3:14">
      <c r="H208" s="9" t="s">
        <v>161</v>
      </c>
      <c r="J208" s="9" t="s">
        <v>162</v>
      </c>
    </row>
    <row r="209" spans="4:12">
      <c r="D209" s="2" t="s">
        <v>164</v>
      </c>
      <c r="E209" s="2"/>
      <c r="F209" s="6" t="s">
        <v>33</v>
      </c>
      <c r="H209" s="12" t="e">
        <f>L206</f>
        <v>#DIV/0!</v>
      </c>
      <c r="I209" s="6" t="e">
        <f>IF(H209&lt;J209,"＜",IF(H209&gt;J209,"＞"))</f>
        <v>#DIV/0!</v>
      </c>
      <c r="J209" s="30">
        <v>77.709999999999994</v>
      </c>
      <c r="K209" s="1" t="s">
        <v>145</v>
      </c>
      <c r="L209" s="43" t="e">
        <f>IF(H209&gt;J209,"NG",IF(H209&lt;J209,"OK"))</f>
        <v>#DIV/0!</v>
      </c>
    </row>
    <row r="210" spans="4:12">
      <c r="G210" s="50"/>
      <c r="H210" s="50"/>
      <c r="I210" s="73" t="s">
        <v>197</v>
      </c>
    </row>
    <row r="211" spans="4:12">
      <c r="J211" s="2" t="s">
        <v>198</v>
      </c>
      <c r="K211" s="188" t="s">
        <v>199</v>
      </c>
      <c r="L211" s="188"/>
    </row>
  </sheetData>
  <mergeCells count="159">
    <mergeCell ref="D199:F199"/>
    <mergeCell ref="D187:F188"/>
    <mergeCell ref="G187:H188"/>
    <mergeCell ref="I187:I188"/>
    <mergeCell ref="K187:L188"/>
    <mergeCell ref="H193:I193"/>
    <mergeCell ref="J193:K193"/>
    <mergeCell ref="K211:L211"/>
    <mergeCell ref="D202:D203"/>
    <mergeCell ref="F202:F203"/>
    <mergeCell ref="H202:H203"/>
    <mergeCell ref="I202:I203"/>
    <mergeCell ref="K202:K203"/>
    <mergeCell ref="L202:N202"/>
    <mergeCell ref="L203:L204"/>
    <mergeCell ref="M203:M204"/>
    <mergeCell ref="D169:D170"/>
    <mergeCell ref="F169:F170"/>
    <mergeCell ref="H169:H170"/>
    <mergeCell ref="I169:I170"/>
    <mergeCell ref="J169:J170"/>
    <mergeCell ref="K169:K170"/>
    <mergeCell ref="L169:L170"/>
    <mergeCell ref="D194:F195"/>
    <mergeCell ref="G194:G195"/>
    <mergeCell ref="H194:H195"/>
    <mergeCell ref="J194:J195"/>
    <mergeCell ref="K194:L194"/>
    <mergeCell ref="C160:I161"/>
    <mergeCell ref="D165:D166"/>
    <mergeCell ref="F165:F166"/>
    <mergeCell ref="G165:G166"/>
    <mergeCell ref="I165:I166"/>
    <mergeCell ref="J165:K165"/>
    <mergeCell ref="L165:L166"/>
    <mergeCell ref="M165:N166"/>
    <mergeCell ref="J166:K166"/>
    <mergeCell ref="D147:F147"/>
    <mergeCell ref="D148:D149"/>
    <mergeCell ref="F148:F149"/>
    <mergeCell ref="H148:H149"/>
    <mergeCell ref="I148:I149"/>
    <mergeCell ref="K148:K149"/>
    <mergeCell ref="D141:F142"/>
    <mergeCell ref="G141:G142"/>
    <mergeCell ref="H141:H142"/>
    <mergeCell ref="J141:J142"/>
    <mergeCell ref="K141:L141"/>
    <mergeCell ref="D144:F144"/>
    <mergeCell ref="G144:H144"/>
    <mergeCell ref="L148:N148"/>
    <mergeCell ref="L149:L150"/>
    <mergeCell ref="M149:M150"/>
    <mergeCell ref="D136:F137"/>
    <mergeCell ref="G136:H137"/>
    <mergeCell ref="I136:I137"/>
    <mergeCell ref="K136:L137"/>
    <mergeCell ref="R137:R138"/>
    <mergeCell ref="S137:S138"/>
    <mergeCell ref="U137:U138"/>
    <mergeCell ref="V137:W137"/>
    <mergeCell ref="V138:W138"/>
    <mergeCell ref="M119:M120"/>
    <mergeCell ref="N119:N120"/>
    <mergeCell ref="R127:S128"/>
    <mergeCell ref="T127:T128"/>
    <mergeCell ref="U127:U128"/>
    <mergeCell ref="W127:W128"/>
    <mergeCell ref="U115:U116"/>
    <mergeCell ref="W115:X116"/>
    <mergeCell ref="F116:H116"/>
    <mergeCell ref="R115:S116"/>
    <mergeCell ref="T115:T116"/>
    <mergeCell ref="X127:Y127"/>
    <mergeCell ref="C119:C120"/>
    <mergeCell ref="F119:F120"/>
    <mergeCell ref="G119:G120"/>
    <mergeCell ref="H119:H120"/>
    <mergeCell ref="I119:J120"/>
    <mergeCell ref="K119:K120"/>
    <mergeCell ref="L119:L120"/>
    <mergeCell ref="D115:D116"/>
    <mergeCell ref="F115:H115"/>
    <mergeCell ref="I115:I116"/>
    <mergeCell ref="J115:K116"/>
    <mergeCell ref="X108:X109"/>
    <mergeCell ref="F109:G109"/>
    <mergeCell ref="J109:K109"/>
    <mergeCell ref="F110:G110"/>
    <mergeCell ref="D112:I113"/>
    <mergeCell ref="J112:J113"/>
    <mergeCell ref="K112:N112"/>
    <mergeCell ref="K113:N113"/>
    <mergeCell ref="F108:G108"/>
    <mergeCell ref="J108:K108"/>
    <mergeCell ref="R108:R109"/>
    <mergeCell ref="S108:S109"/>
    <mergeCell ref="U108:U109"/>
    <mergeCell ref="W108:W109"/>
    <mergeCell ref="W99:W100"/>
    <mergeCell ref="X99:X100"/>
    <mergeCell ref="T100:V100"/>
    <mergeCell ref="C102:I103"/>
    <mergeCell ref="Q103:V104"/>
    <mergeCell ref="F107:G107"/>
    <mergeCell ref="J107:K107"/>
    <mergeCell ref="R96:R97"/>
    <mergeCell ref="S96:S97"/>
    <mergeCell ref="T96:V96"/>
    <mergeCell ref="T97:V97"/>
    <mergeCell ref="R99:R100"/>
    <mergeCell ref="S99:S100"/>
    <mergeCell ref="U81:U82"/>
    <mergeCell ref="V81:Y81"/>
    <mergeCell ref="V82:Y82"/>
    <mergeCell ref="C94:H94"/>
    <mergeCell ref="C95:D95"/>
    <mergeCell ref="G95:H95"/>
    <mergeCell ref="J66:J67"/>
    <mergeCell ref="K66:K67"/>
    <mergeCell ref="L66:L67"/>
    <mergeCell ref="R81:R82"/>
    <mergeCell ref="S81:S82"/>
    <mergeCell ref="T81:T82"/>
    <mergeCell ref="R60:S61"/>
    <mergeCell ref="T60:T61"/>
    <mergeCell ref="U60:U61"/>
    <mergeCell ref="W60:W61"/>
    <mergeCell ref="X60:Y60"/>
    <mergeCell ref="S63:T63"/>
    <mergeCell ref="X26:X27"/>
    <mergeCell ref="R46:S46"/>
    <mergeCell ref="W46:X46"/>
    <mergeCell ref="L57:L58"/>
    <mergeCell ref="M57:M58"/>
    <mergeCell ref="N57:N58"/>
    <mergeCell ref="R16:R17"/>
    <mergeCell ref="S16:U16"/>
    <mergeCell ref="V16:V17"/>
    <mergeCell ref="W16:X17"/>
    <mergeCell ref="S17:U17"/>
    <mergeCell ref="R26:R27"/>
    <mergeCell ref="S26:S27"/>
    <mergeCell ref="U26:U27"/>
    <mergeCell ref="V26:V27"/>
    <mergeCell ref="W26:W27"/>
    <mergeCell ref="S8:T8"/>
    <mergeCell ref="W8:X8"/>
    <mergeCell ref="S9:T9"/>
    <mergeCell ref="R13:R14"/>
    <mergeCell ref="S13:V13"/>
    <mergeCell ref="S14:V14"/>
    <mergeCell ref="B1:I2"/>
    <mergeCell ref="O1:O2"/>
    <mergeCell ref="Q1:V2"/>
    <mergeCell ref="S6:T6"/>
    <mergeCell ref="W6:X6"/>
    <mergeCell ref="S7:T7"/>
    <mergeCell ref="W7:X7"/>
  </mergeCells>
  <phoneticPr fontId="2"/>
  <dataValidations count="1">
    <dataValidation type="list" allowBlank="1" showInputMessage="1" showErrorMessage="1" sqref="K211:L211" xr:uid="{2412CA2F-EF85-494D-98FF-89F61317E0F1}">
      <formula1>"考慮する,考慮しない"</formula1>
    </dataValidation>
  </dataValidations>
  <pageMargins left="0.7" right="0.7" top="0.75" bottom="0.75" header="0.3" footer="0.3"/>
  <pageSetup paperSize="9" scale="71" orientation="portrait" r:id="rId1"/>
  <rowBreaks count="1" manualBreakCount="1">
    <brk id="156" min="1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A42E8-F2D8-4FEE-9785-1178D3D687BC}">
  <dimension ref="B2:W74"/>
  <sheetViews>
    <sheetView tabSelected="1" view="pageBreakPreview" topLeftCell="A37" zoomScaleNormal="100" zoomScaleSheetLayoutView="100" workbookViewId="0">
      <selection activeCell="Q59" sqref="Q59:R60"/>
    </sheetView>
  </sheetViews>
  <sheetFormatPr defaultRowHeight="14.25" outlineLevelRow="1"/>
  <cols>
    <col min="1" max="1" width="3.5" style="190" customWidth="1"/>
    <col min="2" max="23" width="4.625" style="190" customWidth="1"/>
    <col min="24" max="16384" width="9" style="190"/>
  </cols>
  <sheetData>
    <row r="2" spans="2:15" ht="14.25" customHeight="1">
      <c r="B2" s="189" t="s">
        <v>287</v>
      </c>
      <c r="C2" s="189"/>
      <c r="D2" s="189"/>
      <c r="E2" s="189"/>
      <c r="F2" s="189"/>
      <c r="G2" s="189"/>
      <c r="H2" s="189"/>
      <c r="I2" s="189"/>
    </row>
    <row r="3" spans="2:15" ht="14.25" customHeight="1">
      <c r="B3" s="189"/>
      <c r="C3" s="189"/>
      <c r="D3" s="189"/>
      <c r="E3" s="189"/>
      <c r="F3" s="189"/>
      <c r="G3" s="189"/>
      <c r="H3" s="189"/>
      <c r="I3" s="189"/>
    </row>
    <row r="4" spans="2:15" s="192" customFormat="1" ht="14.25" customHeight="1">
      <c r="B4" s="191"/>
      <c r="C4" s="191"/>
      <c r="D4" s="191"/>
      <c r="E4" s="191"/>
      <c r="F4" s="191"/>
      <c r="G4" s="191"/>
      <c r="H4" s="191"/>
      <c r="I4" s="191"/>
    </row>
    <row r="5" spans="2:15" s="192" customFormat="1" ht="14.25" customHeight="1">
      <c r="B5" s="193" t="s">
        <v>288</v>
      </c>
      <c r="C5" s="191"/>
      <c r="D5" s="191"/>
      <c r="E5" s="191"/>
      <c r="F5" s="191"/>
      <c r="G5" s="191"/>
      <c r="H5" s="191"/>
      <c r="I5" s="191"/>
    </row>
    <row r="6" spans="2:15" s="192" customFormat="1" ht="14.25" customHeight="1">
      <c r="B6" s="191"/>
      <c r="C6" s="191"/>
      <c r="D6" s="191"/>
      <c r="E6" s="191"/>
      <c r="F6" s="191"/>
      <c r="G6" s="191"/>
      <c r="H6" s="191"/>
      <c r="I6" s="191"/>
    </row>
    <row r="7" spans="2:15">
      <c r="B7" s="194" t="s">
        <v>3</v>
      </c>
      <c r="C7" s="195">
        <f>'[4]W20E,F通り一体化'!N28+'[4]W20E,F通り一体化'!N38+'[4]W20E,F通り一体化'!N36/2</f>
        <v>51.111600000000003</v>
      </c>
      <c r="D7" s="190" t="s">
        <v>25</v>
      </c>
      <c r="E7" s="190" t="s">
        <v>289</v>
      </c>
      <c r="J7" s="196" t="s">
        <v>7</v>
      </c>
      <c r="K7" s="197">
        <v>0.75</v>
      </c>
      <c r="L7" s="190" t="s">
        <v>27</v>
      </c>
      <c r="N7" s="190" t="s">
        <v>290</v>
      </c>
      <c r="O7" s="198" t="s">
        <v>291</v>
      </c>
    </row>
    <row r="8" spans="2:15">
      <c r="B8" s="194" t="s">
        <v>4</v>
      </c>
      <c r="C8" s="195">
        <f>'[4]W20E,F通り一体化'!N40+'[4]W20E,F通り一体化'!N36/2</f>
        <v>18.5365</v>
      </c>
      <c r="D8" s="190" t="s">
        <v>25</v>
      </c>
      <c r="E8" s="190" t="s">
        <v>292</v>
      </c>
      <c r="J8" s="196" t="s">
        <v>6</v>
      </c>
      <c r="K8" s="197">
        <v>1.2</v>
      </c>
      <c r="L8" s="190" t="s">
        <v>27</v>
      </c>
      <c r="N8" s="190" t="s">
        <v>293</v>
      </c>
      <c r="O8" s="198" t="s">
        <v>294</v>
      </c>
    </row>
    <row r="9" spans="2:15">
      <c r="B9" s="199" t="s">
        <v>5</v>
      </c>
      <c r="C9" s="195">
        <f>C7+C8</f>
        <v>69.648099999999999</v>
      </c>
      <c r="D9" s="190" t="s">
        <v>25</v>
      </c>
      <c r="E9" s="190" t="s">
        <v>10</v>
      </c>
      <c r="J9" s="196" t="s">
        <v>8</v>
      </c>
      <c r="K9" s="197">
        <v>0.35</v>
      </c>
      <c r="L9" s="190" t="s">
        <v>27</v>
      </c>
      <c r="N9" s="198" t="s">
        <v>295</v>
      </c>
      <c r="O9" s="190" t="s">
        <v>296</v>
      </c>
    </row>
    <row r="10" spans="2:15">
      <c r="B10" s="199" t="s">
        <v>297</v>
      </c>
      <c r="C10" s="200">
        <f>'[4]W20E,F通り一体化'!N46</f>
        <v>150.58409999999998</v>
      </c>
      <c r="D10" s="190" t="s">
        <v>25</v>
      </c>
      <c r="E10" s="198" t="s">
        <v>298</v>
      </c>
      <c r="J10" s="196" t="s">
        <v>9</v>
      </c>
      <c r="K10" s="197">
        <v>2.2999999999999998</v>
      </c>
      <c r="L10" s="190" t="s">
        <v>27</v>
      </c>
    </row>
    <row r="11" spans="2:15">
      <c r="B11" s="194" t="s">
        <v>1</v>
      </c>
      <c r="C11" s="201">
        <f>128.7</f>
        <v>128.69999999999999</v>
      </c>
      <c r="D11" s="190" t="s">
        <v>26</v>
      </c>
      <c r="F11" s="190" t="s">
        <v>2</v>
      </c>
    </row>
    <row r="24" spans="2:23">
      <c r="M24" s="202" t="s">
        <v>15</v>
      </c>
      <c r="N24" s="202" t="s">
        <v>14</v>
      </c>
      <c r="O24" s="203">
        <f>C7</f>
        <v>51.111600000000003</v>
      </c>
      <c r="P24" s="204" t="s">
        <v>11</v>
      </c>
      <c r="Q24" s="203">
        <f>K8</f>
        <v>1.2</v>
      </c>
      <c r="R24" s="202" t="s">
        <v>12</v>
      </c>
      <c r="S24" s="205">
        <f>K9</f>
        <v>0.35</v>
      </c>
      <c r="T24" s="206" t="s">
        <v>13</v>
      </c>
      <c r="U24" s="203">
        <f>K10</f>
        <v>2.2999999999999998</v>
      </c>
    </row>
    <row r="25" spans="2:23">
      <c r="M25" s="202"/>
      <c r="N25" s="202"/>
      <c r="O25" s="207">
        <f>C9</f>
        <v>69.648099999999999</v>
      </c>
      <c r="P25" s="207"/>
      <c r="Q25" s="207"/>
      <c r="R25" s="202"/>
      <c r="S25" s="205"/>
      <c r="T25" s="202"/>
      <c r="U25" s="208">
        <f>2</f>
        <v>2</v>
      </c>
    </row>
    <row r="26" spans="2:23">
      <c r="N26" s="208"/>
    </row>
    <row r="27" spans="2:23">
      <c r="N27" s="208" t="s">
        <v>14</v>
      </c>
      <c r="O27" s="209">
        <f>(C7*K8)/C9+K9-K10/2</f>
        <v>8.0625889292026631E-2</v>
      </c>
      <c r="P27" s="209"/>
      <c r="Q27" s="210"/>
    </row>
    <row r="32" spans="2:23" ht="14.25" customHeight="1">
      <c r="B32" s="206" t="s">
        <v>17</v>
      </c>
      <c r="C32" s="211" t="s">
        <v>15</v>
      </c>
      <c r="D32" s="212" t="str">
        <f>IF(0&lt;=E32,"≦","≧")</f>
        <v>≦</v>
      </c>
      <c r="E32" s="213">
        <v>1</v>
      </c>
      <c r="F32" s="214"/>
      <c r="G32" s="215" t="s">
        <v>299</v>
      </c>
      <c r="H32" s="216"/>
      <c r="I32" s="216"/>
      <c r="J32" s="216"/>
      <c r="K32" s="217"/>
      <c r="L32" s="218"/>
      <c r="M32" s="206" t="s">
        <v>17</v>
      </c>
      <c r="N32" s="211" t="s">
        <v>15</v>
      </c>
      <c r="O32" s="212" t="str">
        <f>IF(100&lt;=P32,"≦","&gt;")</f>
        <v>&gt;</v>
      </c>
      <c r="P32" s="213">
        <v>1</v>
      </c>
      <c r="Q32" s="214"/>
      <c r="R32" s="215" t="s">
        <v>300</v>
      </c>
      <c r="S32" s="216"/>
      <c r="T32" s="216"/>
      <c r="U32" s="216"/>
      <c r="V32" s="216"/>
      <c r="W32" s="217"/>
    </row>
    <row r="33" spans="2:23" ht="14.25" customHeight="1">
      <c r="B33" s="202"/>
      <c r="C33" s="219" t="s">
        <v>0</v>
      </c>
      <c r="D33" s="202"/>
      <c r="E33" s="208">
        <v>6</v>
      </c>
      <c r="F33" s="220" t="s">
        <v>16</v>
      </c>
      <c r="G33" s="221"/>
      <c r="K33" s="222"/>
      <c r="L33" s="218"/>
      <c r="M33" s="202"/>
      <c r="N33" s="219" t="s">
        <v>0</v>
      </c>
      <c r="O33" s="202"/>
      <c r="P33" s="208">
        <v>6</v>
      </c>
      <c r="Q33" s="220" t="s">
        <v>16</v>
      </c>
      <c r="R33" s="221"/>
      <c r="W33" s="222"/>
    </row>
    <row r="34" spans="2:23">
      <c r="B34" s="206"/>
      <c r="C34" s="218"/>
      <c r="K34" s="222"/>
      <c r="L34" s="218"/>
      <c r="N34" s="218"/>
      <c r="W34" s="222"/>
    </row>
    <row r="35" spans="2:23">
      <c r="B35" s="202"/>
      <c r="C35" s="218"/>
      <c r="K35" s="222"/>
      <c r="L35" s="218"/>
      <c r="N35" s="218"/>
      <c r="W35" s="222"/>
    </row>
    <row r="36" spans="2:23">
      <c r="B36" s="206"/>
      <c r="C36" s="218"/>
      <c r="K36" s="222"/>
      <c r="L36" s="218"/>
      <c r="N36" s="218"/>
      <c r="W36" s="222"/>
    </row>
    <row r="37" spans="2:23">
      <c r="B37" s="202"/>
      <c r="C37" s="218"/>
      <c r="K37" s="222"/>
      <c r="L37" s="218"/>
      <c r="N37" s="218"/>
      <c r="W37" s="222"/>
    </row>
    <row r="38" spans="2:23">
      <c r="B38" s="206"/>
      <c r="C38" s="218"/>
      <c r="K38" s="222"/>
      <c r="L38" s="218"/>
      <c r="N38" s="218"/>
      <c r="W38" s="222"/>
    </row>
    <row r="39" spans="2:23">
      <c r="B39" s="202"/>
      <c r="C39" s="223"/>
      <c r="D39" s="224"/>
      <c r="E39" s="224"/>
      <c r="F39" s="224"/>
      <c r="G39" s="224"/>
      <c r="H39" s="224"/>
      <c r="I39" s="224"/>
      <c r="J39" s="224"/>
      <c r="K39" s="225"/>
      <c r="L39" s="218"/>
      <c r="N39" s="223"/>
      <c r="O39" s="224"/>
      <c r="P39" s="224"/>
      <c r="Q39" s="224"/>
      <c r="R39" s="224"/>
      <c r="S39" s="224"/>
      <c r="T39" s="224"/>
      <c r="U39" s="224"/>
      <c r="V39" s="224"/>
      <c r="W39" s="225"/>
    </row>
    <row r="40" spans="2:23">
      <c r="B40" s="208"/>
    </row>
    <row r="41" spans="2:23">
      <c r="B41" s="226" t="s">
        <v>301</v>
      </c>
      <c r="C41" s="227" t="s">
        <v>302</v>
      </c>
    </row>
    <row r="42" spans="2:23">
      <c r="C42" s="228" t="s">
        <v>15</v>
      </c>
      <c r="D42" s="202" t="s">
        <v>14</v>
      </c>
      <c r="E42" s="207">
        <f>ABS(O27/K10)</f>
        <v>3.5054734474794187E-2</v>
      </c>
      <c r="F42" s="207"/>
      <c r="G42" s="202" t="str">
        <f>IF(E42&lt;=H42/H43,"≦","＞")</f>
        <v>≦</v>
      </c>
      <c r="H42" s="228">
        <v>1</v>
      </c>
      <c r="J42" s="202" t="str">
        <f>IF(E42&lt;=1/6,"③","④")</f>
        <v>③</v>
      </c>
      <c r="K42" s="229" t="s">
        <v>20</v>
      </c>
      <c r="L42" s="229"/>
    </row>
    <row r="43" spans="2:23">
      <c r="C43" s="208" t="s">
        <v>0</v>
      </c>
      <c r="D43" s="202"/>
      <c r="E43" s="207"/>
      <c r="F43" s="207"/>
      <c r="G43" s="202"/>
      <c r="H43" s="208">
        <v>6</v>
      </c>
      <c r="J43" s="202"/>
      <c r="K43" s="229"/>
      <c r="L43" s="229"/>
    </row>
    <row r="45" spans="2:23" outlineLevel="1">
      <c r="C45" s="230" t="s">
        <v>18</v>
      </c>
      <c r="D45" s="207">
        <f>1+6*(E42/K10)</f>
        <v>1.0914471334125067</v>
      </c>
      <c r="E45" s="207"/>
    </row>
    <row r="46" spans="2:23" outlineLevel="1">
      <c r="C46" s="202"/>
      <c r="D46" s="207"/>
      <c r="E46" s="207"/>
    </row>
    <row r="47" spans="2:23" outlineLevel="1">
      <c r="C47" s="230" t="s">
        <v>19</v>
      </c>
      <c r="D47" s="207">
        <f>1-6*(E42/K10)</f>
        <v>0.90855286658749346</v>
      </c>
      <c r="E47" s="207"/>
    </row>
    <row r="48" spans="2:23" outlineLevel="1">
      <c r="C48" s="202"/>
      <c r="D48" s="207"/>
      <c r="E48" s="207"/>
    </row>
    <row r="50" spans="2:21" hidden="1" outlineLevel="1">
      <c r="C50" s="230" t="s">
        <v>18</v>
      </c>
      <c r="D50" s="231">
        <f>2/3*(1/2-E42/K10)</f>
        <v>0.32317254073194368</v>
      </c>
      <c r="E50" s="231"/>
    </row>
    <row r="51" spans="2:21" hidden="1" outlineLevel="1">
      <c r="C51" s="202"/>
      <c r="D51" s="231"/>
      <c r="E51" s="231"/>
    </row>
    <row r="52" spans="2:21" collapsed="1">
      <c r="C52" s="208"/>
      <c r="D52" s="232"/>
      <c r="E52" s="232"/>
    </row>
    <row r="53" spans="2:21">
      <c r="C53" s="233"/>
      <c r="D53" s="234"/>
      <c r="E53" s="234"/>
      <c r="P53" s="227" t="s">
        <v>23</v>
      </c>
    </row>
    <row r="54" spans="2:21">
      <c r="D54" s="234"/>
      <c r="E54" s="234"/>
      <c r="G54" s="206" t="s">
        <v>21</v>
      </c>
      <c r="H54" s="231">
        <f>D45</f>
        <v>1.0914471334125067</v>
      </c>
      <c r="I54" s="206" t="s">
        <v>11</v>
      </c>
      <c r="J54" s="235">
        <f>C10</f>
        <v>150.58409999999998</v>
      </c>
      <c r="K54" s="235"/>
      <c r="L54" s="202" t="s">
        <v>14</v>
      </c>
      <c r="M54" s="236">
        <f>H54*J54/J55</f>
        <v>71.458514905435763</v>
      </c>
      <c r="N54" s="236"/>
      <c r="O54" s="202" t="str">
        <f>IF(M54&lt;P54,"&lt;","&gt;")</f>
        <v>&lt;</v>
      </c>
      <c r="P54" s="237">
        <v>250</v>
      </c>
      <c r="Q54" s="237"/>
      <c r="R54" s="238"/>
      <c r="S54" s="238"/>
      <c r="T54" s="239" t="str">
        <f>IF(M54&lt;P54,"OK","NG")</f>
        <v>OK</v>
      </c>
      <c r="U54" s="239"/>
    </row>
    <row r="55" spans="2:21" ht="16.5">
      <c r="G55" s="202"/>
      <c r="H55" s="202"/>
      <c r="I55" s="202"/>
      <c r="J55" s="205">
        <f>K10*1</f>
        <v>2.2999999999999998</v>
      </c>
      <c r="K55" s="205"/>
      <c r="L55" s="202"/>
      <c r="M55" s="236"/>
      <c r="N55" s="236"/>
      <c r="O55" s="202"/>
      <c r="P55" s="237"/>
      <c r="Q55" s="237"/>
      <c r="R55" s="238" t="s">
        <v>24</v>
      </c>
      <c r="S55" s="238"/>
      <c r="T55" s="239"/>
      <c r="U55" s="239"/>
    </row>
    <row r="56" spans="2:21">
      <c r="E56" s="198" t="s">
        <v>22</v>
      </c>
    </row>
    <row r="57" spans="2:21">
      <c r="E57" s="198"/>
    </row>
    <row r="58" spans="2:21">
      <c r="B58" s="226" t="s">
        <v>301</v>
      </c>
      <c r="C58" s="227" t="s">
        <v>303</v>
      </c>
    </row>
    <row r="59" spans="2:21">
      <c r="C59" s="202" t="s">
        <v>304</v>
      </c>
      <c r="D59" s="202" t="s">
        <v>75</v>
      </c>
      <c r="E59" s="228" t="s">
        <v>178</v>
      </c>
      <c r="F59" s="202" t="s">
        <v>75</v>
      </c>
      <c r="G59" s="240">
        <f>C11</f>
        <v>128.69999999999999</v>
      </c>
      <c r="H59" s="240"/>
      <c r="I59" s="202" t="s">
        <v>75</v>
      </c>
      <c r="J59" s="207">
        <f>G59/G60</f>
        <v>0.85467190759183742</v>
      </c>
      <c r="K59" s="207"/>
      <c r="M59" s="230" t="s">
        <v>305</v>
      </c>
      <c r="N59" s="202" t="s">
        <v>306</v>
      </c>
      <c r="O59" s="202"/>
      <c r="P59" s="202" t="s">
        <v>75</v>
      </c>
      <c r="Q59" s="242">
        <f>O27+J59</f>
        <v>0.93529779688386405</v>
      </c>
      <c r="R59" s="242"/>
    </row>
    <row r="60" spans="2:21">
      <c r="C60" s="202"/>
      <c r="D60" s="202"/>
      <c r="E60" s="241" t="s">
        <v>307</v>
      </c>
      <c r="F60" s="202"/>
      <c r="G60" s="207">
        <f>C10</f>
        <v>150.58409999999998</v>
      </c>
      <c r="H60" s="205"/>
      <c r="I60" s="202"/>
      <c r="J60" s="207"/>
      <c r="K60" s="207"/>
      <c r="M60" s="202"/>
      <c r="N60" s="202"/>
      <c r="O60" s="202"/>
      <c r="P60" s="202"/>
      <c r="Q60" s="242"/>
      <c r="R60" s="242"/>
    </row>
    <row r="62" spans="2:21">
      <c r="C62" s="228" t="s">
        <v>308</v>
      </c>
      <c r="D62" s="202" t="s">
        <v>14</v>
      </c>
      <c r="E62" s="207">
        <f>ABS(Q59/K10)</f>
        <v>0.40665121603646265</v>
      </c>
      <c r="F62" s="207"/>
      <c r="G62" s="202" t="str">
        <f>IF(E62&lt;=H62/H63,"≦","＞")</f>
        <v>＞</v>
      </c>
      <c r="H62" s="228">
        <v>1</v>
      </c>
      <c r="J62" s="202" t="str">
        <f>IF(E62&lt;=1/6,"③","④")</f>
        <v>④</v>
      </c>
      <c r="K62" s="229" t="s">
        <v>20</v>
      </c>
      <c r="L62" s="229"/>
    </row>
    <row r="63" spans="2:21">
      <c r="C63" s="208" t="s">
        <v>0</v>
      </c>
      <c r="D63" s="202"/>
      <c r="E63" s="207"/>
      <c r="F63" s="207"/>
      <c r="G63" s="202"/>
      <c r="H63" s="208">
        <v>6</v>
      </c>
      <c r="J63" s="202"/>
      <c r="K63" s="229"/>
      <c r="L63" s="229"/>
    </row>
    <row r="64" spans="2:21" hidden="1" outlineLevel="1">
      <c r="C64" s="230" t="s">
        <v>18</v>
      </c>
      <c r="D64" s="207">
        <f>1+6*E62</f>
        <v>3.439907296218776</v>
      </c>
      <c r="E64" s="207"/>
    </row>
    <row r="65" spans="3:21" hidden="1" outlineLevel="1">
      <c r="C65" s="202"/>
      <c r="D65" s="207"/>
      <c r="E65" s="207"/>
    </row>
    <row r="66" spans="3:21" hidden="1" outlineLevel="1">
      <c r="C66" s="230" t="s">
        <v>19</v>
      </c>
      <c r="D66" s="207">
        <f>1-6*E62</f>
        <v>-1.439907296218776</v>
      </c>
      <c r="E66" s="207"/>
    </row>
    <row r="67" spans="3:21" hidden="1" outlineLevel="1">
      <c r="C67" s="202"/>
      <c r="D67" s="207"/>
      <c r="E67" s="207"/>
    </row>
    <row r="68" spans="3:21" collapsed="1"/>
    <row r="69" spans="3:21" outlineLevel="1">
      <c r="C69" s="230" t="s">
        <v>18</v>
      </c>
      <c r="D69" s="231">
        <f>2/(3*(1/2-E62))</f>
        <v>7.1416748923807196</v>
      </c>
      <c r="E69" s="231"/>
    </row>
    <row r="70" spans="3:21" outlineLevel="1">
      <c r="C70" s="202"/>
      <c r="D70" s="231"/>
      <c r="E70" s="231"/>
    </row>
    <row r="72" spans="3:21">
      <c r="P72" s="227" t="s">
        <v>309</v>
      </c>
    </row>
    <row r="73" spans="3:21">
      <c r="G73" s="206" t="s">
        <v>21</v>
      </c>
      <c r="H73" s="231">
        <f>D69</f>
        <v>7.1416748923807196</v>
      </c>
      <c r="I73" s="206" t="s">
        <v>11</v>
      </c>
      <c r="J73" s="235">
        <f>C10</f>
        <v>150.58409999999998</v>
      </c>
      <c r="K73" s="235"/>
      <c r="L73" s="202" t="s">
        <v>14</v>
      </c>
      <c r="M73" s="236">
        <f>H73*J73/J74</f>
        <v>467.5750809398902</v>
      </c>
      <c r="N73" s="236"/>
      <c r="O73" s="202" t="str">
        <f>IF(M73&lt;P73,"&lt;","&gt;")</f>
        <v>&lt;</v>
      </c>
      <c r="P73" s="237">
        <f>P54*2</f>
        <v>500</v>
      </c>
      <c r="Q73" s="237"/>
      <c r="R73" s="238"/>
      <c r="S73" s="238"/>
      <c r="T73" s="239" t="str">
        <f>IF(M73&lt;P73,"OK","NG")</f>
        <v>OK</v>
      </c>
      <c r="U73" s="239"/>
    </row>
    <row r="74" spans="3:21" ht="16.5">
      <c r="G74" s="202"/>
      <c r="H74" s="202"/>
      <c r="I74" s="202"/>
      <c r="J74" s="205">
        <f>K10*1</f>
        <v>2.2999999999999998</v>
      </c>
      <c r="K74" s="205"/>
      <c r="L74" s="202"/>
      <c r="M74" s="236"/>
      <c r="N74" s="236"/>
      <c r="O74" s="202"/>
      <c r="P74" s="237"/>
      <c r="Q74" s="237"/>
      <c r="R74" s="238" t="s">
        <v>24</v>
      </c>
      <c r="S74" s="238"/>
      <c r="T74" s="239"/>
      <c r="U74" s="239"/>
    </row>
  </sheetData>
  <mergeCells count="74">
    <mergeCell ref="O73:O74"/>
    <mergeCell ref="P73:Q74"/>
    <mergeCell ref="R73:S73"/>
    <mergeCell ref="T73:U74"/>
    <mergeCell ref="J74:K74"/>
    <mergeCell ref="R74:S74"/>
    <mergeCell ref="G73:G74"/>
    <mergeCell ref="H73:H74"/>
    <mergeCell ref="I73:I74"/>
    <mergeCell ref="J73:K73"/>
    <mergeCell ref="L73:L74"/>
    <mergeCell ref="M73:N74"/>
    <mergeCell ref="C64:C65"/>
    <mergeCell ref="D64:E65"/>
    <mergeCell ref="C66:C67"/>
    <mergeCell ref="D66:E67"/>
    <mergeCell ref="C69:C70"/>
    <mergeCell ref="D69:E70"/>
    <mergeCell ref="M59:M60"/>
    <mergeCell ref="N59:O60"/>
    <mergeCell ref="P59:P60"/>
    <mergeCell ref="Q59:R60"/>
    <mergeCell ref="G60:H60"/>
    <mergeCell ref="D62:D63"/>
    <mergeCell ref="E62:F63"/>
    <mergeCell ref="G62:G63"/>
    <mergeCell ref="J62:J63"/>
    <mergeCell ref="K62:L63"/>
    <mergeCell ref="C59:C60"/>
    <mergeCell ref="D59:D60"/>
    <mergeCell ref="F59:F60"/>
    <mergeCell ref="G59:H59"/>
    <mergeCell ref="I59:I60"/>
    <mergeCell ref="J59:K60"/>
    <mergeCell ref="O54:O55"/>
    <mergeCell ref="P54:Q55"/>
    <mergeCell ref="R54:S54"/>
    <mergeCell ref="T54:U55"/>
    <mergeCell ref="J55:K55"/>
    <mergeCell ref="R55:S55"/>
    <mergeCell ref="G54:G55"/>
    <mergeCell ref="H54:H55"/>
    <mergeCell ref="I54:I55"/>
    <mergeCell ref="J54:K54"/>
    <mergeCell ref="L54:L55"/>
    <mergeCell ref="M54:N55"/>
    <mergeCell ref="C45:C46"/>
    <mergeCell ref="D45:E46"/>
    <mergeCell ref="C47:C48"/>
    <mergeCell ref="D47:E48"/>
    <mergeCell ref="C50:C51"/>
    <mergeCell ref="D50:E51"/>
    <mergeCell ref="R32:R33"/>
    <mergeCell ref="B34:B35"/>
    <mergeCell ref="B36:B37"/>
    <mergeCell ref="B38:B39"/>
    <mergeCell ref="D42:D43"/>
    <mergeCell ref="E42:F43"/>
    <mergeCell ref="G42:G43"/>
    <mergeCell ref="J42:J43"/>
    <mergeCell ref="K42:L43"/>
    <mergeCell ref="O27:P27"/>
    <mergeCell ref="B32:B33"/>
    <mergeCell ref="D32:D33"/>
    <mergeCell ref="G32:G33"/>
    <mergeCell ref="M32:M33"/>
    <mergeCell ref="O32:O33"/>
    <mergeCell ref="B2:I3"/>
    <mergeCell ref="M24:M25"/>
    <mergeCell ref="N24:N25"/>
    <mergeCell ref="R24:R25"/>
    <mergeCell ref="S24:S25"/>
    <mergeCell ref="T24:T25"/>
    <mergeCell ref="O25:Q25"/>
  </mergeCells>
  <phoneticPr fontId="2"/>
  <pageMargins left="0.7" right="0.7" top="0.75" bottom="0.75" header="0.3" footer="0.3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水平力算出 E通</vt:lpstr>
      <vt:lpstr>水平力算出  F通</vt:lpstr>
      <vt:lpstr>W20E,F通り一体化</vt:lpstr>
      <vt:lpstr>短期接地圧</vt:lpstr>
      <vt:lpstr>'W20E,F通り一体化'!Print_Area</vt:lpstr>
      <vt:lpstr>'水平力算出  F通'!Print_Area</vt:lpstr>
      <vt:lpstr>'水平力算出 E通'!Print_Area</vt:lpstr>
      <vt:lpstr>短期接地圧!Print_Area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akamine-PC</dc:creator>
  <cp:lastModifiedBy>akamine-PC</cp:lastModifiedBy>
  <cp:lastPrinted>2023-01-27T00:07:50Z</cp:lastPrinted>
  <dcterms:created xsi:type="dcterms:W3CDTF">2023-01-25T01:23:03Z</dcterms:created>
  <dcterms:modified xsi:type="dcterms:W3CDTF">2023-01-27T01:08:54Z</dcterms:modified>
</cp:coreProperties>
</file>